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lyn\Documents\Work\conferences\JINA_IOSS\"/>
    </mc:Choice>
  </mc:AlternateContent>
  <xr:revisionPtr revIDLastSave="0" documentId="13_ncr:1_{196FF7D5-AE99-4513-AB70-3D0450BF7A28}" xr6:coauthVersionLast="36" xr6:coauthVersionMax="36" xr10:uidLastSave="{00000000-0000-0000-0000-000000000000}"/>
  <bookViews>
    <workbookView xWindow="0" yWindow="0" windowWidth="23040" windowHeight="9060" activeTab="7" xr2:uid="{00000000-000D-0000-FFFF-FFFF00000000}"/>
  </bookViews>
  <sheets>
    <sheet name="3." sheetId="1" r:id="rId1"/>
    <sheet name="4." sheetId="2" r:id="rId2"/>
    <sheet name="5." sheetId="4" r:id="rId3"/>
    <sheet name="6." sheetId="5" r:id="rId4"/>
    <sheet name="6. problem" sheetId="7" r:id="rId5"/>
    <sheet name="6. ThickLens" sheetId="8" r:id="rId6"/>
    <sheet name="7." sheetId="9" r:id="rId7"/>
    <sheet name="8." sheetId="10" r:id="rId8"/>
    <sheet name="9." sheetId="11" r:id="rId9"/>
  </sheets>
  <calcPr calcId="162913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6" i="8" l="1"/>
  <c r="H37" i="5"/>
  <c r="H33" i="5"/>
  <c r="H31" i="7"/>
  <c r="H27" i="7"/>
  <c r="A22" i="10"/>
  <c r="B42" i="10"/>
  <c r="G43" i="10"/>
  <c r="G47" i="10"/>
  <c r="G49" i="10"/>
  <c r="G45" i="10"/>
  <c r="G41" i="10"/>
  <c r="G35" i="10"/>
  <c r="G31" i="10"/>
  <c r="A29" i="10"/>
  <c r="A27" i="10"/>
  <c r="A28" i="10"/>
  <c r="E15" i="10"/>
  <c r="D14" i="10"/>
  <c r="B14" i="10"/>
  <c r="D13" i="10"/>
  <c r="B12" i="10"/>
  <c r="C11" i="10"/>
  <c r="A11" i="10"/>
  <c r="C10" i="10"/>
  <c r="A9" i="10"/>
  <c r="B8" i="9"/>
  <c r="D10" i="9"/>
  <c r="B7" i="9"/>
  <c r="A7" i="9"/>
  <c r="A8" i="9"/>
  <c r="A9" i="9"/>
  <c r="B27" i="8"/>
  <c r="B5" i="8"/>
  <c r="E24" i="8"/>
  <c r="B24" i="8"/>
  <c r="C24" i="8"/>
  <c r="E23" i="8"/>
  <c r="B23" i="8"/>
  <c r="C23" i="8"/>
  <c r="E22" i="8"/>
  <c r="B22" i="8"/>
  <c r="C22" i="8"/>
  <c r="E21" i="8"/>
  <c r="B21" i="8"/>
  <c r="C21" i="8"/>
  <c r="E20" i="8"/>
  <c r="B20" i="8"/>
  <c r="C20" i="8"/>
  <c r="E19" i="8"/>
  <c r="B19" i="8"/>
  <c r="C19" i="8"/>
  <c r="E18" i="8"/>
  <c r="B18" i="8"/>
  <c r="C18" i="8"/>
  <c r="E17" i="8"/>
  <c r="B17" i="8"/>
  <c r="C17" i="8"/>
  <c r="E16" i="8"/>
  <c r="B16" i="8"/>
  <c r="C16" i="8"/>
  <c r="E15" i="8"/>
  <c r="B15" i="8"/>
  <c r="C15" i="8"/>
  <c r="E14" i="8"/>
  <c r="B14" i="8"/>
  <c r="C14" i="8"/>
  <c r="E13" i="8"/>
  <c r="B13" i="8"/>
  <c r="C13" i="8"/>
  <c r="E12" i="8"/>
  <c r="B12" i="8"/>
  <c r="C12" i="8"/>
  <c r="E11" i="8"/>
  <c r="B11" i="8"/>
  <c r="C11" i="8"/>
  <c r="E10" i="8"/>
  <c r="B10" i="8"/>
  <c r="C10" i="8"/>
  <c r="E9" i="8"/>
  <c r="B9" i="8"/>
  <c r="C9" i="8"/>
  <c r="B24" i="7"/>
  <c r="C24" i="7"/>
  <c r="F24" i="7"/>
  <c r="E24" i="7"/>
  <c r="D24" i="7"/>
  <c r="B23" i="7"/>
  <c r="C23" i="7"/>
  <c r="F23" i="7"/>
  <c r="E23" i="7"/>
  <c r="D23" i="7"/>
  <c r="B22" i="7"/>
  <c r="C22" i="7"/>
  <c r="F22" i="7"/>
  <c r="E22" i="7"/>
  <c r="D22" i="7"/>
  <c r="B21" i="7"/>
  <c r="C21" i="7"/>
  <c r="F21" i="7"/>
  <c r="E21" i="7"/>
  <c r="D21" i="7"/>
  <c r="B20" i="7"/>
  <c r="C20" i="7"/>
  <c r="F20" i="7"/>
  <c r="E20" i="7"/>
  <c r="D20" i="7"/>
  <c r="B19" i="7"/>
  <c r="C19" i="7"/>
  <c r="F19" i="7"/>
  <c r="E19" i="7"/>
  <c r="D19" i="7"/>
  <c r="B18" i="7"/>
  <c r="C18" i="7"/>
  <c r="F18" i="7"/>
  <c r="E18" i="7"/>
  <c r="D18" i="7"/>
  <c r="B17" i="7"/>
  <c r="C17" i="7"/>
  <c r="F17" i="7"/>
  <c r="E17" i="7"/>
  <c r="D17" i="7"/>
  <c r="B16" i="7"/>
  <c r="C16" i="7"/>
  <c r="F16" i="7"/>
  <c r="E16" i="7"/>
  <c r="D16" i="7"/>
  <c r="B15" i="7"/>
  <c r="C15" i="7"/>
  <c r="F15" i="7"/>
  <c r="E15" i="7"/>
  <c r="D15" i="7"/>
  <c r="B14" i="7"/>
  <c r="C14" i="7"/>
  <c r="F14" i="7"/>
  <c r="E14" i="7"/>
  <c r="D14" i="7"/>
  <c r="B13" i="7"/>
  <c r="C13" i="7"/>
  <c r="F13" i="7"/>
  <c r="E13" i="7"/>
  <c r="D13" i="7"/>
  <c r="B12" i="7"/>
  <c r="C12" i="7"/>
  <c r="F12" i="7"/>
  <c r="E12" i="7"/>
  <c r="D12" i="7"/>
  <c r="B11" i="7"/>
  <c r="C11" i="7"/>
  <c r="F11" i="7"/>
  <c r="E11" i="7"/>
  <c r="D11" i="7"/>
  <c r="B10" i="7"/>
  <c r="C10" i="7"/>
  <c r="F10" i="7"/>
  <c r="E10" i="7"/>
  <c r="D10" i="7"/>
  <c r="B9" i="7"/>
  <c r="C9" i="7"/>
  <c r="F9" i="7"/>
  <c r="E9" i="7"/>
  <c r="D9" i="7"/>
  <c r="B5" i="7"/>
  <c r="H28" i="7"/>
  <c r="I24" i="7"/>
  <c r="G24" i="7"/>
  <c r="I23" i="7"/>
  <c r="G23" i="7"/>
  <c r="I22" i="7"/>
  <c r="G22" i="7"/>
  <c r="I21" i="7"/>
  <c r="G21" i="7"/>
  <c r="I20" i="7"/>
  <c r="G20" i="7"/>
  <c r="I19" i="7"/>
  <c r="G19" i="7"/>
  <c r="I18" i="7"/>
  <c r="G18" i="7"/>
  <c r="I17" i="7"/>
  <c r="G17" i="7"/>
  <c r="I16" i="7"/>
  <c r="G16" i="7"/>
  <c r="I15" i="7"/>
  <c r="G15" i="7"/>
  <c r="I14" i="7"/>
  <c r="G14" i="7"/>
  <c r="I13" i="7"/>
  <c r="G13" i="7"/>
  <c r="I12" i="7"/>
  <c r="G12" i="7"/>
  <c r="I11" i="7"/>
  <c r="G11" i="7"/>
  <c r="I10" i="7"/>
  <c r="G10" i="7"/>
  <c r="I9" i="7"/>
  <c r="G9" i="7"/>
  <c r="B30" i="5"/>
  <c r="C30" i="5"/>
  <c r="D30" i="5"/>
  <c r="B11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D22" i="5"/>
  <c r="C23" i="5"/>
  <c r="D23" i="5"/>
  <c r="C24" i="5"/>
  <c r="D24" i="5"/>
  <c r="C25" i="5"/>
  <c r="D25" i="5"/>
  <c r="C26" i="5"/>
  <c r="D26" i="5"/>
  <c r="C27" i="5"/>
  <c r="D27" i="5"/>
  <c r="C28" i="5"/>
  <c r="D28" i="5"/>
  <c r="C29" i="5"/>
  <c r="D29" i="5"/>
  <c r="H3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I8" i="2"/>
  <c r="B13" i="2"/>
  <c r="B24" i="1"/>
  <c r="B23" i="1"/>
  <c r="B22" i="1"/>
  <c r="B21" i="1"/>
  <c r="B20" i="1"/>
  <c r="B19" i="1"/>
  <c r="B18" i="1"/>
  <c r="B17" i="1"/>
  <c r="B14" i="1"/>
  <c r="B27" i="1"/>
  <c r="B26" i="1"/>
  <c r="B16" i="1"/>
  <c r="B25" i="1"/>
  <c r="B15" i="1"/>
  <c r="B28" i="7"/>
  <c r="B27" i="7"/>
  <c r="E27" i="7"/>
  <c r="E28" i="7"/>
  <c r="B29" i="7"/>
  <c r="E29" i="7"/>
  <c r="H29" i="7"/>
  <c r="E31" i="7"/>
  <c r="E33" i="7"/>
  <c r="E32" i="7"/>
  <c r="B33" i="5"/>
  <c r="E33" i="5"/>
  <c r="B35" i="5"/>
  <c r="B34" i="5"/>
  <c r="E34" i="5"/>
  <c r="E35" i="5"/>
  <c r="H35" i="5"/>
  <c r="E37" i="5"/>
  <c r="E39" i="5"/>
  <c r="E38" i="5"/>
</calcChain>
</file>

<file path=xl/sharedStrings.xml><?xml version="1.0" encoding="utf-8"?>
<sst xmlns="http://schemas.openxmlformats.org/spreadsheetml/2006/main" count="247" uniqueCount="188">
  <si>
    <t>x</t>
  </si>
  <si>
    <t>a</t>
  </si>
  <si>
    <t>y</t>
  </si>
  <si>
    <t>b</t>
  </si>
  <si>
    <t>l</t>
  </si>
  <si>
    <t xml:space="preserve">(x|x) = </t>
  </si>
  <si>
    <t xml:space="preserve">(x|a) = </t>
  </si>
  <si>
    <t xml:space="preserve">(a|a) = </t>
  </si>
  <si>
    <t xml:space="preserve">(l|x) = </t>
  </si>
  <si>
    <t>(a|x) =</t>
  </si>
  <si>
    <t xml:space="preserve">(l|a) = </t>
  </si>
  <si>
    <t>dK</t>
  </si>
  <si>
    <t xml:space="preserve">(x|dK) = </t>
  </si>
  <si>
    <t xml:space="preserve">(a|dK) = </t>
  </si>
  <si>
    <t xml:space="preserve">(y|y) = </t>
  </si>
  <si>
    <t xml:space="preserve">(y|b) = </t>
  </si>
  <si>
    <t xml:space="preserve">(b|y) = </t>
  </si>
  <si>
    <t xml:space="preserve">(b|b) = </t>
  </si>
  <si>
    <t>(l|l) =</t>
  </si>
  <si>
    <t xml:space="preserve">(l|dK) = </t>
  </si>
  <si>
    <t>Offset in KE --&gt; offset in x</t>
  </si>
  <si>
    <t>Offset in angle --&gt; offset in x</t>
  </si>
  <si>
    <t>Offset in KE --&gt; offset in angle</t>
  </si>
  <si>
    <t>Offset in x --&gt; opposite offset in angle, see (x|x)</t>
  </si>
  <si>
    <t>Angle magnification: Angle differences are decreased, see (x|x)</t>
  </si>
  <si>
    <t>Magnification = 0.64: X is squished because outer paths stay in magnet longer and inner paths are not bent as much because they sepnd less time in the magnet.</t>
  </si>
  <si>
    <t>Y is not affected by dipole field.</t>
  </si>
  <si>
    <t>But y still depends on incoming angle.</t>
  </si>
  <si>
    <t>B does not depend on incoming y.</t>
  </si>
  <si>
    <t>B is not affected by dipole field</t>
  </si>
  <si>
    <t>INCLUDE 'COSY' ;</t>
  </si>
  <si>
    <t>PROCEDURE RUN ;</t>
  </si>
  <si>
    <t xml:space="preserve"> OV 1 3 1 ; {order 1, phase space dim 3 INCLUDING ENERGY, # of parameters 0}</t>
  </si>
  <si>
    <t xml:space="preserve"> RP 20 21 11 ; {kin. energy, mass 21 amu, charge 11}</t>
  </si>
  <si>
    <t xml:space="preserve"> UM ; {sets maps to unity}</t>
  </si>
  <si>
    <t xml:space="preserve"> </t>
  </si>
  <si>
    <t xml:space="preserve"> SB 0 0.03 0 0.01 0 0 0 0.3 0 0 0 ;</t>
  </si>
  <si>
    <t xml:space="preserve"> ER 1 3 3 1 1 3 1 1 ;</t>
  </si>
  <si>
    <t xml:space="preserve"> PTY 5; </t>
  </si>
  <si>
    <t xml:space="preserve"> BP ; {begins a picture}</t>
  </si>
  <si>
    <t xml:space="preserve"> DL .1; {drift length .1 m}</t>
  </si>
  <si>
    <t xml:space="preserve"> DI 1. 45. .03 0 0 0 0; {parallel face dipole, radius 1.0 m, angle 45 deg, aperture 3 cm}</t>
  </si>
  <si>
    <t xml:space="preserve"> EP ; {ends a picture}</t>
  </si>
  <si>
    <t xml:space="preserve"> PG -1 -2 ; {outputs x,y picture on screen}</t>
  </si>
  <si>
    <t xml:space="preserve"> PM 6 ; {Prints Transfer Matrix on Screen}</t>
  </si>
  <si>
    <t xml:space="preserve"> PM 11 ;{Prints Transfer Matrix to file fort.11}</t>
  </si>
  <si>
    <t>ENDPROCEDURE ;</t>
  </si>
  <si>
    <t>RUN ; END ;</t>
  </si>
  <si>
    <t>MeV</t>
  </si>
  <si>
    <t>Projectile (m1)</t>
  </si>
  <si>
    <t>Target (m2)</t>
  </si>
  <si>
    <t>Ejectile (m3)</t>
  </si>
  <si>
    <t>Recoil (m4)</t>
  </si>
  <si>
    <t>Projectile E</t>
  </si>
  <si>
    <t>kinetic</t>
  </si>
  <si>
    <t>http://skisickness.com/2010/04/relativistic-kinematics-calculator/</t>
  </si>
  <si>
    <t>Ejectile Ex</t>
  </si>
  <si>
    <t>Recoil Ex</t>
  </si>
  <si>
    <t>gamma</t>
  </si>
  <si>
    <t>Note: We used DI instead of DP to match a "textbook dipole" rather than a parallel dipole.</t>
  </si>
  <si>
    <r>
      <t xml:space="preserve">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3.463 MeV. The minimum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 xml:space="preserve">Si energy is 3.343 MeV. The maximum </t>
    </r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 angle is 0.5 degrees.</t>
    </r>
  </si>
  <si>
    <r>
      <t xml:space="preserve">The maximum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3.492 MeV. The minimum </t>
    </r>
    <r>
      <rPr>
        <i/>
        <sz val="11"/>
        <color theme="1"/>
        <rFont val="Calibri"/>
        <family val="2"/>
        <scheme val="minor"/>
      </rPr>
      <t>γ</t>
    </r>
    <r>
      <rPr>
        <sz val="11"/>
        <color theme="1"/>
        <rFont val="Calibri"/>
        <family val="2"/>
        <scheme val="minor"/>
      </rPr>
      <t xml:space="preserve"> energy is 3.372 MeV.</t>
    </r>
  </si>
  <si>
    <t>Result:</t>
  </si>
  <si>
    <t>b.</t>
  </si>
  <si>
    <t>a.</t>
  </si>
  <si>
    <t>The maximum angle is about 9 mrad, which fits the angular acceptance of 25 mrad.</t>
  </si>
  <si>
    <t>The energy spread is</t>
  </si>
  <si>
    <t>https://journals.aps.org/prl/abstract/10.1103/PhysRevLett.79.3845</t>
  </si>
  <si>
    <t xml:space="preserve">L = </t>
  </si>
  <si>
    <t>m</t>
  </si>
  <si>
    <t>a =</t>
  </si>
  <si>
    <t xml:space="preserve">b = </t>
  </si>
  <si>
    <t xml:space="preserve">c = </t>
  </si>
  <si>
    <t xml:space="preserve">a = </t>
  </si>
  <si>
    <t>±</t>
  </si>
  <si>
    <t>&lt;-- This is where a resonance is</t>
  </si>
  <si>
    <r>
      <t xml:space="preserve">"This reaction is of considerable interest, since it might lead to a decrease of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Na production in nova explosions, and solve the discrepancy between the </t>
    </r>
    <r>
      <rPr>
        <vertAlign val="superscript"/>
        <sz val="7.75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Na yield predictions of nova models and recent COMPTEL observations."</t>
    </r>
  </si>
  <si>
    <t>This fits in SECAR's energy acceptance of 3.1%.</t>
  </si>
  <si>
    <t>Fit Coefficients</t>
  </si>
  <si>
    <r>
      <t>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+c =   </t>
    </r>
  </si>
  <si>
    <t>ratio =</t>
  </si>
  <si>
    <t>-2ab =</t>
  </si>
  <si>
    <r>
      <t xml:space="preserve">From H. Schatz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 Phys. Rev. Lett. 79, 3845 – Published 17 November 1997</t>
    </r>
  </si>
  <si>
    <t>Code:</t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</si>
  <si>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</si>
  <si>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 xml:space="preserve"> =</t>
    </r>
  </si>
  <si>
    <r>
      <rPr>
        <sz val="11"/>
        <color theme="1"/>
        <rFont val="Calibri"/>
        <family val="2"/>
      </rPr>
      <t>σ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 xml:space="preserve"> =</t>
    </r>
  </si>
  <si>
    <t>Brho [Tm]=</t>
  </si>
  <si>
    <t>kq [1/m]</t>
  </si>
  <si>
    <t>Gradient [T/m]
(divide by aperture)</t>
  </si>
  <si>
    <t>Quadrupole [T]
(Flux density at pole tip)</t>
  </si>
  <si>
    <t>K [1/m]</t>
  </si>
  <si>
    <t>Length quad [m] =</t>
  </si>
  <si>
    <r>
      <t>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 xml:space="preserve"> [m]
(VMAX(RAY(1))</t>
    </r>
  </si>
  <si>
    <r>
      <t>(x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</si>
  <si>
    <t>m rad</t>
  </si>
  <si>
    <t>(calculated a different way to check algebra)</t>
  </si>
  <si>
    <r>
      <t>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[1/m]</t>
    </r>
  </si>
  <si>
    <r>
      <t>Cosh[k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</si>
  <si>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kq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</si>
  <si>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r>
      <t>1/k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Sinh[k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 xml:space="preserve"> L</t>
    </r>
    <r>
      <rPr>
        <b/>
        <vertAlign val="subscript"/>
        <sz val="11"/>
        <color theme="1"/>
        <rFont val="Calibri"/>
        <family val="2"/>
        <scheme val="minor"/>
      </rPr>
      <t>q</t>
    </r>
    <r>
      <rPr>
        <b/>
        <sz val="11"/>
        <color theme="1"/>
        <rFont val="Calibri"/>
        <family val="2"/>
        <scheme val="minor"/>
      </rPr>
      <t>]</t>
    </r>
  </si>
  <si>
    <t>This column must be near zero for the thin lens approximation to be valid.</t>
  </si>
  <si>
    <t>ME(1,2)</t>
  </si>
  <si>
    <t>Mass Resolving
Power at FP2</t>
  </si>
  <si>
    <t>Resolution by
Max Ray</t>
  </si>
  <si>
    <t>decrease Q2 length by 3%</t>
  </si>
  <si>
    <t>Q2 length</t>
  </si>
  <si>
    <t>Q2 Strength</t>
  </si>
  <si>
    <t>Modified Q2 length, not yet optimized</t>
  </si>
  <si>
    <t>Modified Q2 length, with optimized Q2 strength</t>
  </si>
  <si>
    <t>Half Image
Size</t>
  </si>
  <si>
    <t>Comment</t>
  </si>
  <si>
    <t>XX</t>
  </si>
  <si>
    <t>AX</t>
  </si>
  <si>
    <t>YY</t>
  </si>
  <si>
    <t>AY</t>
  </si>
  <si>
    <t>DE</t>
  </si>
  <si>
    <t>Mass Res.</t>
  </si>
  <si>
    <t>ME(1,1)</t>
  </si>
  <si>
    <t>M(1,7)</t>
  </si>
  <si>
    <t>M(1,2)</t>
  </si>
  <si>
    <t>M(1,6)</t>
  </si>
  <si>
    <t>Res. Pow.</t>
  </si>
  <si>
    <t>The change in XX that results in a 5% change in mass resolution is</t>
  </si>
  <si>
    <t>The change in AX that results in a 5% change in mass resolution is</t>
  </si>
  <si>
    <t>DX</t>
  </si>
  <si>
    <t>DY</t>
  </si>
  <si>
    <t>Pitch</t>
  </si>
  <si>
    <t>Yaw</t>
  </si>
  <si>
    <t>Roll</t>
  </si>
  <si>
    <t>The change in PITCH that results in a 5% change in mass resolution is</t>
  </si>
  <si>
    <t>The change in YAW that results in a 5% change in mass resolution is</t>
  </si>
  <si>
    <t>degrees</t>
  </si>
  <si>
    <t>*** The resolution initially went up for larger pitch values before coming back down!</t>
  </si>
  <si>
    <t>The change in ROLL that results in a 5% change in mass resolution is</t>
  </si>
  <si>
    <t>The change in DX that results in a 5% change in mass resolution is</t>
  </si>
  <si>
    <t>The change in DY that results in a 5% change in mass resolution is</t>
  </si>
  <si>
    <t>mm</t>
  </si>
  <si>
    <t>5% smaller resolution is:</t>
  </si>
  <si>
    <t>Problem 8: Mass Resolution Study</t>
  </si>
  <si>
    <t>In this problem, we change various properties of the beam and of quadrupole Q2 to study the effects on mass resolution.</t>
  </si>
  <si>
    <t>The yellow boxes indicate modified values.</t>
  </si>
  <si>
    <t>First we change the beam properties by 5% to study each property's effect on the mass resolution.</t>
  </si>
  <si>
    <t xml:space="preserve">Conclusions: </t>
  </si>
  <si>
    <t xml:space="preserve">The mass resolution is more sensitive to the angle AX than to the beam position XX. </t>
  </si>
  <si>
    <t>The angle in the opposite direction AY does not affect the mass resolution in the x-direction.</t>
  </si>
  <si>
    <t>Next we find how much we can change various parameters before the mass resolution is worse by 5%.</t>
  </si>
  <si>
    <t>Beam properties XX and AZ.</t>
  </si>
  <si>
    <t>Quadrupole Q2 properties.</t>
  </si>
  <si>
    <t>Conclusions:</t>
  </si>
  <si>
    <t>Again, the mass resolution is more sensitive to the beam angle than beam position.</t>
  </si>
  <si>
    <t>The resolution is extremely sensitive to the alignment of the magnets. Deviations by fractions of a degree or a millimeter can ruin the resolution.</t>
  </si>
  <si>
    <t>This can be corrected for with the magnetic field strengths.</t>
  </si>
  <si>
    <t>Problem 7: Effective Field Length Study</t>
  </si>
  <si>
    <t>In this problem, we change the length of quadrupole Q2 and study the effect on mass resolving power and mass resolution.</t>
  </si>
  <si>
    <t>after fit to maximize mass resolution, with new Q2 strength</t>
  </si>
  <si>
    <t>Change in field to correct for change in length:</t>
  </si>
  <si>
    <t>Decreasing the quadrupole length by 3% decreased the mass resolution to only about a quarter of its original value.</t>
  </si>
  <si>
    <t>Increasing the field strength by 3% recovered the mass resolution.</t>
  </si>
  <si>
    <t>Problem 9: Charge State Study</t>
  </si>
  <si>
    <t>Problem 6: Measuring Emittance</t>
  </si>
  <si>
    <t>In this problem, we use the COSY code to predict the emittance of the beam.</t>
  </si>
  <si>
    <t>We vary the quadrupole field and extract the beam size.</t>
  </si>
  <si>
    <r>
      <t>Then we can find 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 xml:space="preserve"> as a function of K:</t>
    </r>
  </si>
  <si>
    <r>
      <t>σ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>(K) = aK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-2abK+ab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+c</t>
    </r>
  </si>
  <si>
    <t>And the emittance is given by:</t>
  </si>
  <si>
    <r>
      <t>ε = √(ac)/L</t>
    </r>
    <r>
      <rPr>
        <vertAlign val="superscript"/>
        <sz val="11"/>
        <color theme="1"/>
        <rFont val="Calibri"/>
        <family val="2"/>
        <scheme val="minor"/>
      </rPr>
      <t>2</t>
    </r>
  </si>
  <si>
    <r>
      <rPr>
        <b/>
        <sz val="11"/>
        <color rgb="FFFA7D00"/>
        <rFont val="Calibri"/>
        <family val="2"/>
      </rPr>
      <t>ε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</si>
  <si>
    <r>
      <t>ε</t>
    </r>
    <r>
      <rPr>
        <b/>
        <vertAlign val="subscript"/>
        <sz val="11"/>
        <color rgb="FFFA7D00"/>
        <rFont val="Calibri"/>
        <family val="2"/>
        <scheme val="minor"/>
      </rPr>
      <t>th</t>
    </r>
    <r>
      <rPr>
        <b/>
        <sz val="11"/>
        <color rgb="FFFA7D00"/>
        <rFont val="Calibri"/>
        <family val="2"/>
        <scheme val="minor"/>
      </rPr>
      <t xml:space="preserve"> =  </t>
    </r>
  </si>
  <si>
    <r>
      <t>ε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</t>
    </r>
  </si>
  <si>
    <t>See  images below for details.</t>
  </si>
  <si>
    <t>Problem 6: Measuring Emittance, A Problem with the Method</t>
  </si>
  <si>
    <t>We suspect that the thin lens approximation may not have been appropriate for this case.</t>
  </si>
  <si>
    <t>Problem 6: Measuring Emittance, Full Thick Lens Solution</t>
  </si>
  <si>
    <t>On this sheet we calculate the full thick lens solution to extract the emittance.</t>
  </si>
  <si>
    <t>In this problem, we observe how a certain charge state is selected.</t>
  </si>
  <si>
    <r>
      <t xml:space="preserve">Problem 5: </t>
    </r>
    <r>
      <rPr>
        <b/>
        <vertAlign val="superscript"/>
        <sz val="15"/>
        <color theme="3"/>
        <rFont val="Calibri"/>
        <family val="2"/>
        <scheme val="minor"/>
      </rPr>
      <t>23</t>
    </r>
    <r>
      <rPr>
        <b/>
        <sz val="15"/>
        <color theme="3"/>
        <rFont val="Calibri"/>
        <family val="2"/>
        <scheme val="minor"/>
      </rPr>
      <t>Al(p,</t>
    </r>
    <r>
      <rPr>
        <b/>
        <sz val="15"/>
        <color theme="3"/>
        <rFont val="Calibri"/>
        <family val="2"/>
      </rPr>
      <t>γ)</t>
    </r>
  </si>
  <si>
    <r>
      <t xml:space="preserve">Reaction: </t>
    </r>
    <r>
      <rPr>
        <vertAlign val="super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>Al (p,γ)</t>
    </r>
  </si>
  <si>
    <r>
      <rPr>
        <vertAlign val="super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>Al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</si>
  <si>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H</t>
    </r>
  </si>
  <si>
    <r>
      <rPr>
        <vertAlign val="super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Si</t>
    </r>
  </si>
  <si>
    <t>Problem 3: Learning About the Matrix Elements</t>
  </si>
  <si>
    <t>In this problem, we use a simple dipole to understand the meaning of the matrix elements.</t>
  </si>
  <si>
    <r>
      <t xml:space="preserve">Problem 4: Reaction Kinematics of </t>
    </r>
    <r>
      <rPr>
        <b/>
        <vertAlign val="superscript"/>
        <sz val="15"/>
        <color theme="3"/>
        <rFont val="Calibri"/>
        <family val="2"/>
        <scheme val="minor"/>
      </rPr>
      <t>23</t>
    </r>
    <r>
      <rPr>
        <b/>
        <sz val="15"/>
        <color theme="3"/>
        <rFont val="Calibri"/>
        <family val="2"/>
        <scheme val="minor"/>
      </rPr>
      <t>Al(p,γ)</t>
    </r>
  </si>
  <si>
    <t>Charge = 5, Resolution = 593.5</t>
  </si>
  <si>
    <t>Charge = 4 is blue, Charge = 6 is red, Resolution = 5.90E-5. This makes sense because the charges are supposed to be separated out.</t>
  </si>
  <si>
    <t>This makes sense because the charges are supposed to be separated out.</t>
  </si>
  <si>
    <r>
      <t>ε</t>
    </r>
    <r>
      <rPr>
        <b/>
        <vertAlign val="subscript"/>
        <sz val="11"/>
        <color rgb="FFFA7D00"/>
        <rFont val="Calibri"/>
        <family val="2"/>
        <scheme val="minor"/>
      </rPr>
      <t>cosy</t>
    </r>
    <r>
      <rPr>
        <b/>
        <sz val="11"/>
        <color rgb="FFFA7D00"/>
        <rFont val="Calibri"/>
        <family val="2"/>
        <scheme val="minor"/>
      </rPr>
      <t xml:space="preserve"> =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</si>
</sst>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5" formatCode="0.0000000"/>
    <numFmt numFmtId="166" formatCode="0.0000000E+00"/>
    <numFmt numFmtId="167" formatCode="0.0"/>
    <numFmt numFmtId="168" formatCode="0.000000"/>
    <numFmt numFmtId="169" formatCode="0.00000"/>
    <numFmt numFmtId="170" formatCode="0.0%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7.7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</font>
    <font>
      <b/>
      <sz val="15"/>
      <color theme="3"/>
      <name val="Calibri"/>
      <family val="2"/>
    </font>
    <font>
      <b/>
      <vertAlign val="superscript"/>
      <sz val="15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</borders>
  <cellStyleXfs count="11">
    <xf numFmtId="0" fontId="0" fillId="0" borderId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2" borderId="2" applyNumberFormat="0" applyAlignment="0" applyProtection="0"/>
    <xf numFmtId="0" fontId="7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2" borderId="5" applyNumberFormat="0" applyAlignment="0" applyProtection="0"/>
    <xf numFmtId="0" fontId="16" fillId="4" borderId="0" applyNumberFormat="0" applyBorder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3" fillId="5" borderId="0" applyNumberFormat="0" applyBorder="0" applyAlignment="0" applyProtection="0"/>
  </cellStyleXfs>
  <cellXfs count="81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left" vertical="center" indent="1"/>
    </xf>
    <xf numFmtId="0" fontId="1" fillId="0" borderId="0" xfId="0" applyFont="1"/>
    <xf numFmtId="10" fontId="0" fillId="0" borderId="0" xfId="1" applyNumberFormat="1" applyFont="1" applyAlignment="1">
      <alignment horizontal="left"/>
    </xf>
    <xf numFmtId="0" fontId="7" fillId="0" borderId="0" xfId="4"/>
    <xf numFmtId="0" fontId="8" fillId="0" borderId="0" xfId="0" applyFont="1"/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5" fillId="2" borderId="2" xfId="3" applyAlignment="1">
      <alignment horizontal="right"/>
    </xf>
    <xf numFmtId="11" fontId="5" fillId="2" borderId="2" xfId="3" applyNumberFormat="1"/>
    <xf numFmtId="0" fontId="1" fillId="0" borderId="0" xfId="0" applyFont="1" applyAlignment="1">
      <alignment horizontal="center"/>
    </xf>
    <xf numFmtId="11" fontId="5" fillId="2" borderId="4" xfId="3" applyNumberFormat="1" applyBorder="1"/>
    <xf numFmtId="0" fontId="5" fillId="2" borderId="3" xfId="3" applyBorder="1" applyAlignment="1">
      <alignment horizontal="right"/>
    </xf>
    <xf numFmtId="2" fontId="5" fillId="2" borderId="4" xfId="3" applyNumberFormat="1" applyBorder="1"/>
    <xf numFmtId="11" fontId="0" fillId="0" borderId="0" xfId="0" applyNumberFormat="1" applyAlignment="1">
      <alignment horizontal="right"/>
    </xf>
    <xf numFmtId="11" fontId="0" fillId="0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64" fontId="13" fillId="3" borderId="0" xfId="5" applyNumberFormat="1" applyAlignment="1">
      <alignment horizontal="center"/>
    </xf>
    <xf numFmtId="0" fontId="13" fillId="3" borderId="0" xfId="5"/>
    <xf numFmtId="167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 vertical="center"/>
    </xf>
    <xf numFmtId="0" fontId="14" fillId="2" borderId="5" xfId="6" applyAlignment="1"/>
    <xf numFmtId="9" fontId="14" fillId="2" borderId="5" xfId="6" applyNumberFormat="1"/>
    <xf numFmtId="0" fontId="16" fillId="4" borderId="0" xfId="7" applyBorder="1"/>
    <xf numFmtId="0" fontId="0" fillId="0" borderId="0" xfId="0" applyBorder="1"/>
    <xf numFmtId="167" fontId="0" fillId="0" borderId="0" xfId="0" applyNumberFormat="1" applyBorder="1"/>
    <xf numFmtId="0" fontId="0" fillId="0" borderId="6" xfId="0" applyBorder="1"/>
    <xf numFmtId="2" fontId="0" fillId="0" borderId="6" xfId="1" applyNumberFormat="1" applyFont="1" applyBorder="1"/>
    <xf numFmtId="0" fontId="0" fillId="0" borderId="8" xfId="0" applyBorder="1"/>
    <xf numFmtId="0" fontId="16" fillId="4" borderId="8" xfId="7" applyBorder="1"/>
    <xf numFmtId="167" fontId="0" fillId="0" borderId="8" xfId="0" applyNumberFormat="1" applyBorder="1"/>
    <xf numFmtId="168" fontId="16" fillId="4" borderId="8" xfId="7" applyNumberFormat="1" applyBorder="1"/>
    <xf numFmtId="167" fontId="0" fillId="0" borderId="6" xfId="0" applyNumberFormat="1" applyBorder="1"/>
    <xf numFmtId="169" fontId="16" fillId="4" borderId="8" xfId="7" applyNumberFormat="1" applyBorder="1"/>
    <xf numFmtId="2" fontId="0" fillId="0" borderId="6" xfId="0" applyNumberFormat="1" applyBorder="1"/>
    <xf numFmtId="2" fontId="0" fillId="0" borderId="8" xfId="0" applyNumberFormat="1" applyBorder="1"/>
    <xf numFmtId="168" fontId="0" fillId="0" borderId="8" xfId="0" applyNumberFormat="1" applyBorder="1"/>
    <xf numFmtId="168" fontId="16" fillId="4" borderId="0" xfId="7" applyNumberFormat="1" applyBorder="1"/>
    <xf numFmtId="168" fontId="0" fillId="0" borderId="0" xfId="0" applyNumberFormat="1" applyBorder="1"/>
    <xf numFmtId="9" fontId="0" fillId="0" borderId="6" xfId="1" applyFont="1" applyBorder="1"/>
    <xf numFmtId="170" fontId="0" fillId="0" borderId="6" xfId="1" applyNumberFormat="1" applyFont="1" applyBorder="1"/>
    <xf numFmtId="168" fontId="0" fillId="0" borderId="7" xfId="0" applyNumberFormat="1" applyBorder="1"/>
    <xf numFmtId="167" fontId="0" fillId="0" borderId="7" xfId="0" applyNumberFormat="1" applyBorder="1"/>
    <xf numFmtId="0" fontId="0" fillId="0" borderId="7" xfId="0" applyBorder="1"/>
    <xf numFmtId="0" fontId="1" fillId="0" borderId="6" xfId="0" applyFont="1" applyBorder="1" applyAlignment="1">
      <alignment horizontal="center"/>
    </xf>
    <xf numFmtId="0" fontId="0" fillId="0" borderId="0" xfId="0"/>
    <xf numFmtId="165" fontId="0" fillId="0" borderId="8" xfId="0" applyNumberFormat="1" applyBorder="1"/>
    <xf numFmtId="165" fontId="16" fillId="4" borderId="0" xfId="7" applyNumberFormat="1" applyBorder="1"/>
    <xf numFmtId="165" fontId="0" fillId="0" borderId="0" xfId="0" applyNumberFormat="1" applyBorder="1"/>
    <xf numFmtId="165" fontId="0" fillId="0" borderId="6" xfId="0" applyNumberFormat="1" applyBorder="1"/>
    <xf numFmtId="165" fontId="16" fillId="4" borderId="6" xfId="7" applyNumberFormat="1" applyBorder="1"/>
    <xf numFmtId="168" fontId="0" fillId="0" borderId="6" xfId="0" applyNumberFormat="1" applyBorder="1"/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11" fontId="0" fillId="0" borderId="0" xfId="0" applyNumberFormat="1" applyBorder="1"/>
    <xf numFmtId="2" fontId="0" fillId="0" borderId="0" xfId="0" applyNumberFormat="1" applyBorder="1"/>
    <xf numFmtId="168" fontId="16" fillId="4" borderId="6" xfId="7" applyNumberFormat="1" applyBorder="1"/>
    <xf numFmtId="11" fontId="0" fillId="0" borderId="6" xfId="0" applyNumberFormat="1" applyBorder="1"/>
    <xf numFmtId="0" fontId="14" fillId="2" borderId="5" xfId="6"/>
    <xf numFmtId="0" fontId="1" fillId="0" borderId="0" xfId="0" applyFont="1" applyAlignment="1"/>
    <xf numFmtId="0" fontId="0" fillId="0" borderId="0" xfId="0" applyFont="1"/>
    <xf numFmtId="0" fontId="4" fillId="0" borderId="1" xfId="2" applyAlignment="1">
      <alignment horizontal="left"/>
    </xf>
    <xf numFmtId="0" fontId="3" fillId="5" borderId="0" xfId="10"/>
    <xf numFmtId="0" fontId="1" fillId="0" borderId="0" xfId="0" applyFont="1" applyAlignment="1">
      <alignment horizontal="left"/>
    </xf>
    <xf numFmtId="0" fontId="4" fillId="0" borderId="1" xfId="2"/>
    <xf numFmtId="0" fontId="0" fillId="0" borderId="0" xfId="0" applyFont="1"/>
    <xf numFmtId="0" fontId="16" fillId="4" borderId="0" xfId="7"/>
    <xf numFmtId="0" fontId="17" fillId="0" borderId="6" xfId="9" applyBorder="1"/>
    <xf numFmtId="0" fontId="17" fillId="0" borderId="6" xfId="9" applyBorder="1" applyAlignment="1">
      <alignment horizontal="left"/>
    </xf>
    <xf numFmtId="0" fontId="17" fillId="0" borderId="9" xfId="8"/>
  </cellXfs>
  <cellStyles count="11">
    <cellStyle name="20% - Accent1" xfId="10" builtinId="30"/>
    <cellStyle name="Bad" xfId="5" builtinId="27"/>
    <cellStyle name="Calculation" xfId="3" builtinId="22"/>
    <cellStyle name="Heading 1" xfId="2" builtinId="16"/>
    <cellStyle name="Heading 3" xfId="8" builtinId="18"/>
    <cellStyle name="Heading 4" xfId="9" builtinId="19"/>
    <cellStyle name="Hyperlink" xfId="4" builtinId="8"/>
    <cellStyle name="Neutral" xfId="7" builtinId="28"/>
    <cellStyle name="Normal" xfId="0" builtinId="0"/>
    <cellStyle name="Output" xfId="6" builtinId="21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'6.'!$D$15:$D$30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'6.'!$F$15:$F$30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39104"/>
        <c:axId val="784143440"/>
      </c:scatterChart>
      <c:valAx>
        <c:axId val="784139104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43440"/>
        <c:crosses val="autoZero"/>
        <c:crossBetween val="midCat"/>
      </c:valAx>
      <c:valAx>
        <c:axId val="78414344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910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1141836935454797"/>
                  <c:y val="-0.12262650308246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'6. problem'!$G$9:$G$24</c:f>
              <c:numCache>
                <c:formatCode>0.000</c:formatCode>
                <c:ptCount val="16"/>
                <c:pt idx="0">
                  <c:v>-0.33311483471319503</c:v>
                </c:pt>
                <c:pt idx="1">
                  <c:v>-0.29925200265179647</c:v>
                </c:pt>
                <c:pt idx="2">
                  <c:v>-0.2655122357178093</c:v>
                </c:pt>
                <c:pt idx="3">
                  <c:v>-0.23189532982740668</c:v>
                </c:pt>
                <c:pt idx="4">
                  <c:v>-0.19840108111232541</c:v>
                </c:pt>
                <c:pt idx="5">
                  <c:v>-0.16502928591969981</c:v>
                </c:pt>
                <c:pt idx="6">
                  <c:v>-0.131779740811895</c:v>
                </c:pt>
                <c:pt idx="7">
                  <c:v>-9.8652242566342502E-2</c:v>
                </c:pt>
                <c:pt idx="8">
                  <c:v>-6.5646588175372042E-2</c:v>
                </c:pt>
                <c:pt idx="9">
                  <c:v>-3.2762574846047332E-2</c:v>
                </c:pt>
                <c:pt idx="10">
                  <c:v>3.2707985219099563E-3</c:v>
                </c:pt>
                <c:pt idx="11">
                  <c:v>3.2762574846047623E-2</c:v>
                </c:pt>
                <c:pt idx="12">
                  <c:v>6.5646588175372375E-2</c:v>
                </c:pt>
                <c:pt idx="13">
                  <c:v>9.8652242566342821E-2</c:v>
                </c:pt>
                <c:pt idx="14">
                  <c:v>0.13177974081189536</c:v>
                </c:pt>
                <c:pt idx="15">
                  <c:v>0.16502928591969981</c:v>
                </c:pt>
              </c:numCache>
            </c:numRef>
          </c:xVal>
          <c:yVal>
            <c:numRef>
              <c:f>'6. problem'!$I$9:$I$24</c:f>
              <c:numCache>
                <c:formatCode>0.00E+00</c:formatCode>
                <c:ptCount val="16"/>
                <c:pt idx="0">
                  <c:v>2.4206726205600935E-5</c:v>
                </c:pt>
                <c:pt idx="1">
                  <c:v>1.8073490070112517E-5</c:v>
                </c:pt>
                <c:pt idx="2">
                  <c:v>1.2860544878078879E-5</c:v>
                </c:pt>
                <c:pt idx="3">
                  <c:v>8.5534024197141349E-6</c:v>
                </c:pt>
                <c:pt idx="4">
                  <c:v>5.1377896283966336E-6</c:v>
                </c:pt>
                <c:pt idx="5">
                  <c:v>2.5994882224186326E-6</c:v>
                </c:pt>
                <c:pt idx="6">
                  <c:v>9.2444641635668559E-7</c:v>
                </c:pt>
                <c:pt idx="7">
                  <c:v>3.8925026724112289E-7</c:v>
                </c:pt>
                <c:pt idx="8">
                  <c:v>8.267938893356704E-7</c:v>
                </c:pt>
                <c:pt idx="9">
                  <c:v>1.4234198923917211E-6</c:v>
                </c:pt>
                <c:pt idx="10">
                  <c:v>2.7882401064574396E-6</c:v>
                </c:pt>
                <c:pt idx="11">
                  <c:v>5.0152241318051957E-6</c:v>
                </c:pt>
                <c:pt idx="12">
                  <c:v>8.2317643953749741E-6</c:v>
                </c:pt>
                <c:pt idx="13">
                  <c:v>1.2216885828044321E-5</c:v>
                </c:pt>
                <c:pt idx="14">
                  <c:v>1.6957369326116202E-5</c:v>
                </c:pt>
                <c:pt idx="15">
                  <c:v>2.2440360585973924E-5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2-414F-94B5-E4AAF4C1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293328"/>
        <c:axId val="784297680"/>
      </c:scatterChart>
      <c:valAx>
        <c:axId val="784293328"/>
        <c:scaling>
          <c:orientation val="minMax"/>
        </c:scaling>
        <c:delete val="0"/>
        <c:axPos val="b"/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7680"/>
        <c:crosses val="autoZero"/>
        <c:crossBetween val="midCat"/>
      </c:valAx>
      <c:valAx>
        <c:axId val="784297680"/>
        <c:scaling>
          <c:orientation val="minMax"/>
        </c:scaling>
        <c:delete val="0"/>
        <c:axPos val="l"/>
        <c:numFmt formatCode="0.0E+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29332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iff"/><Relationship Id="rId2" Type="http://schemas.openxmlformats.org/officeDocument/2006/relationships/image" Target="../media/image4.tif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29</xdr:row>
      <xdr:rowOff>175261</xdr:rowOff>
    </xdr:from>
    <xdr:to>
      <xdr:col>12</xdr:col>
      <xdr:colOff>99060</xdr:colOff>
      <xdr:row>42</xdr:row>
      <xdr:rowOff>12073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1" y="4747261"/>
          <a:ext cx="2537459" cy="221425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42</xdr:row>
      <xdr:rowOff>0</xdr:rowOff>
    </xdr:from>
    <xdr:to>
      <xdr:col>12</xdr:col>
      <xdr:colOff>134797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1" y="6949440"/>
          <a:ext cx="2573196" cy="2164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19</xdr:row>
      <xdr:rowOff>1</xdr:rowOff>
    </xdr:from>
    <xdr:to>
      <xdr:col>8</xdr:col>
      <xdr:colOff>458761</xdr:colOff>
      <xdr:row>38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948941"/>
          <a:ext cx="5198400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13</xdr:row>
      <xdr:rowOff>7620</xdr:rowOff>
    </xdr:from>
    <xdr:to>
      <xdr:col>14</xdr:col>
      <xdr:colOff>0</xdr:colOff>
      <xdr:row>29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39</xdr:row>
      <xdr:rowOff>38100</xdr:rowOff>
    </xdr:from>
    <xdr:to>
      <xdr:col>6</xdr:col>
      <xdr:colOff>332740</xdr:colOff>
      <xdr:row>73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39</xdr:row>
      <xdr:rowOff>101600</xdr:rowOff>
    </xdr:from>
    <xdr:to>
      <xdr:col>15</xdr:col>
      <xdr:colOff>304800</xdr:colOff>
      <xdr:row>71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7</xdr:row>
      <xdr:rowOff>7620</xdr:rowOff>
    </xdr:from>
    <xdr:to>
      <xdr:col>17</xdr:col>
      <xdr:colOff>0</xdr:colOff>
      <xdr:row>23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</xdr:colOff>
      <xdr:row>33</xdr:row>
      <xdr:rowOff>38100</xdr:rowOff>
    </xdr:from>
    <xdr:to>
      <xdr:col>5</xdr:col>
      <xdr:colOff>713740</xdr:colOff>
      <xdr:row>67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6756400"/>
          <a:ext cx="6197600" cy="6540500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33</xdr:row>
      <xdr:rowOff>101600</xdr:rowOff>
    </xdr:from>
    <xdr:to>
      <xdr:col>15</xdr:col>
      <xdr:colOff>22860</xdr:colOff>
      <xdr:row>65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3762" y="6819900"/>
          <a:ext cx="6260038" cy="612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317500</xdr:colOff>
      <xdr:row>6</xdr:row>
      <xdr:rowOff>38100</xdr:rowOff>
    </xdr:from>
    <xdr:to>
      <xdr:col>18</xdr:col>
      <xdr:colOff>577930</xdr:colOff>
      <xdr:row>57</xdr:row>
      <xdr:rowOff>35560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889000"/>
          <a:ext cx="8959930" cy="9969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16</xdr:row>
      <xdr:rowOff>0</xdr:rowOff>
    </xdr:from>
    <xdr:to>
      <xdr:col>6</xdr:col>
      <xdr:colOff>119570</xdr:colOff>
      <xdr:row>54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61A5C-6269-414C-9192-C3333478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2095500"/>
          <a:ext cx="4874448" cy="69494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15</xdr:col>
      <xdr:colOff>6591</xdr:colOff>
      <xdr:row>54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B13218-2173-464D-85D4-4C9E1055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6340" y="2461260"/>
          <a:ext cx="4883391" cy="69494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266057</xdr:colOff>
      <xdr:row>45</xdr:row>
      <xdr:rowOff>46705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3F2E2-21A3-4939-B961-2F2D256B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5340"/>
          <a:ext cx="5142857" cy="73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17</xdr:col>
      <xdr:colOff>285105</xdr:colOff>
      <xdr:row>45</xdr:row>
      <xdr:rowOff>65752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4C715-499D-4E74-B436-29E9E2C1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815340"/>
          <a:ext cx="5161905" cy="7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ournals.aps.org/prl/abstract/10.1103/PhysRevLett.79.384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7"/>
  <sheetViews>
    <sheetView workbookViewId="0">
      <selection activeCell="K6" sqref="K6"/>
    </sheetView>
  </sheetViews>
  <sheetFormatPr defaultColWidth="8.77734375" defaultRowHeight="14.4" x14ac:dyDescent="0.3"/>
  <sheetData>
    <row r="1" spans="1:6" s="72" customFormat="1" ht="20.399999999999999" thickBot="1" x14ac:dyDescent="0.45">
      <c r="A1" s="72" t="s">
        <v>181</v>
      </c>
    </row>
    <row r="2" spans="1:6" ht="15" thickTop="1" x14ac:dyDescent="0.3"/>
    <row r="3" spans="1:6" s="73" customFormat="1" x14ac:dyDescent="0.3">
      <c r="A3" s="73" t="s">
        <v>182</v>
      </c>
    </row>
    <row r="6" spans="1:6" x14ac:dyDescent="0.3">
      <c r="A6" s="16" t="s">
        <v>0</v>
      </c>
      <c r="B6" s="16" t="s">
        <v>1</v>
      </c>
      <c r="C6" s="16" t="s">
        <v>2</v>
      </c>
      <c r="D6" s="16" t="s">
        <v>3</v>
      </c>
      <c r="E6" s="16" t="s">
        <v>4</v>
      </c>
      <c r="F6" s="4"/>
    </row>
    <row r="7" spans="1:6" x14ac:dyDescent="0.3">
      <c r="A7" s="1">
        <v>0.63639610000000002</v>
      </c>
      <c r="B7" s="1">
        <v>-0.70710680000000004</v>
      </c>
      <c r="C7" s="1">
        <v>0</v>
      </c>
      <c r="D7" s="1">
        <v>0</v>
      </c>
      <c r="E7" s="1">
        <v>-0.35373399999999999</v>
      </c>
      <c r="F7" s="4" t="s">
        <v>0</v>
      </c>
    </row>
    <row r="8" spans="1:6" x14ac:dyDescent="0.3">
      <c r="A8" s="1">
        <v>0.84145709999999996</v>
      </c>
      <c r="B8" s="1">
        <v>0.63639610000000002</v>
      </c>
      <c r="C8" s="1">
        <v>0</v>
      </c>
      <c r="D8" s="1">
        <v>0</v>
      </c>
      <c r="E8" s="1">
        <v>-0.1818948</v>
      </c>
      <c r="F8" s="4" t="s">
        <v>1</v>
      </c>
    </row>
    <row r="9" spans="1:6" x14ac:dyDescent="0.3">
      <c r="A9" s="1">
        <v>0</v>
      </c>
      <c r="B9" s="1">
        <v>0</v>
      </c>
      <c r="C9" s="1">
        <v>1</v>
      </c>
      <c r="D9" s="1">
        <v>0</v>
      </c>
      <c r="E9" s="1">
        <v>0</v>
      </c>
      <c r="F9" s="4" t="s">
        <v>2</v>
      </c>
    </row>
    <row r="10" spans="1:6" x14ac:dyDescent="0.3">
      <c r="A10" s="1">
        <v>0</v>
      </c>
      <c r="B10" s="1">
        <v>0</v>
      </c>
      <c r="C10" s="1">
        <v>0.9853982</v>
      </c>
      <c r="D10" s="1">
        <v>1</v>
      </c>
      <c r="E10" s="1">
        <v>0</v>
      </c>
      <c r="F10" s="4" t="s">
        <v>3</v>
      </c>
    </row>
    <row r="11" spans="1:6" x14ac:dyDescent="0.3">
      <c r="A11" s="1">
        <v>0</v>
      </c>
      <c r="B11" s="1">
        <v>0</v>
      </c>
      <c r="C11" s="1">
        <v>0</v>
      </c>
      <c r="D11" s="1">
        <v>0</v>
      </c>
      <c r="E11" s="1">
        <v>1</v>
      </c>
      <c r="F11" s="4" t="s">
        <v>4</v>
      </c>
    </row>
    <row r="12" spans="1:6" x14ac:dyDescent="0.3">
      <c r="A12" s="1">
        <v>0.1818948</v>
      </c>
      <c r="B12" s="1">
        <v>0.35373399999999999</v>
      </c>
      <c r="C12" s="1">
        <v>0</v>
      </c>
      <c r="D12" s="1">
        <v>0</v>
      </c>
      <c r="E12" s="1">
        <v>0.22650500000000001</v>
      </c>
      <c r="F12" s="4" t="s">
        <v>11</v>
      </c>
    </row>
    <row r="14" spans="1:6" x14ac:dyDescent="0.3">
      <c r="A14" t="s">
        <v>5</v>
      </c>
      <c r="B14" s="2">
        <f>A7</f>
        <v>0.63639610000000002</v>
      </c>
      <c r="D14" t="s">
        <v>25</v>
      </c>
    </row>
    <row r="15" spans="1:6" x14ac:dyDescent="0.3">
      <c r="A15" t="s">
        <v>6</v>
      </c>
      <c r="B15" s="2">
        <f>A8</f>
        <v>0.84145709999999996</v>
      </c>
      <c r="D15" t="s">
        <v>21</v>
      </c>
    </row>
    <row r="16" spans="1:6" x14ac:dyDescent="0.3">
      <c r="A16" t="s">
        <v>12</v>
      </c>
      <c r="B16" s="2">
        <f>A12</f>
        <v>0.1818948</v>
      </c>
      <c r="D16" t="s">
        <v>20</v>
      </c>
    </row>
    <row r="17" spans="1:4" x14ac:dyDescent="0.3">
      <c r="A17" t="s">
        <v>9</v>
      </c>
      <c r="B17" s="2">
        <f>B7</f>
        <v>-0.70710680000000004</v>
      </c>
      <c r="D17" t="s">
        <v>23</v>
      </c>
    </row>
    <row r="18" spans="1:4" x14ac:dyDescent="0.3">
      <c r="A18" t="s">
        <v>7</v>
      </c>
      <c r="B18" s="2">
        <f>B8</f>
        <v>0.63639610000000002</v>
      </c>
      <c r="D18" t="s">
        <v>24</v>
      </c>
    </row>
    <row r="19" spans="1:4" x14ac:dyDescent="0.3">
      <c r="A19" t="s">
        <v>13</v>
      </c>
      <c r="B19" s="2">
        <f>B12</f>
        <v>0.35373399999999999</v>
      </c>
      <c r="D19" t="s">
        <v>22</v>
      </c>
    </row>
    <row r="20" spans="1:4" x14ac:dyDescent="0.3">
      <c r="A20" t="s">
        <v>14</v>
      </c>
      <c r="B20" s="2">
        <f>C9</f>
        <v>1</v>
      </c>
      <c r="D20" t="s">
        <v>26</v>
      </c>
    </row>
    <row r="21" spans="1:4" x14ac:dyDescent="0.3">
      <c r="A21" t="s">
        <v>15</v>
      </c>
      <c r="B21" s="2">
        <f>C10</f>
        <v>0.9853982</v>
      </c>
      <c r="D21" t="s">
        <v>27</v>
      </c>
    </row>
    <row r="22" spans="1:4" x14ac:dyDescent="0.3">
      <c r="A22" t="s">
        <v>16</v>
      </c>
      <c r="B22" s="2">
        <f>D9</f>
        <v>0</v>
      </c>
      <c r="D22" t="s">
        <v>28</v>
      </c>
    </row>
    <row r="23" spans="1:4" x14ac:dyDescent="0.3">
      <c r="A23" t="s">
        <v>17</v>
      </c>
      <c r="B23" s="2">
        <f>D10</f>
        <v>1</v>
      </c>
      <c r="D23" t="s">
        <v>29</v>
      </c>
    </row>
    <row r="24" spans="1:4" x14ac:dyDescent="0.3">
      <c r="A24" t="s">
        <v>8</v>
      </c>
      <c r="B24" s="2">
        <f>E7</f>
        <v>-0.35373399999999999</v>
      </c>
    </row>
    <row r="25" spans="1:4" x14ac:dyDescent="0.3">
      <c r="A25" t="s">
        <v>10</v>
      </c>
      <c r="B25" s="2">
        <f>E8</f>
        <v>-0.1818948</v>
      </c>
    </row>
    <row r="26" spans="1:4" x14ac:dyDescent="0.3">
      <c r="A26" t="s">
        <v>18</v>
      </c>
      <c r="B26" s="2">
        <f>E11</f>
        <v>1</v>
      </c>
    </row>
    <row r="27" spans="1:4" x14ac:dyDescent="0.3">
      <c r="A27" t="s">
        <v>19</v>
      </c>
      <c r="B27" s="2">
        <f>E12</f>
        <v>0.22650500000000001</v>
      </c>
    </row>
    <row r="30" spans="1:4" x14ac:dyDescent="0.3">
      <c r="A30" s="4" t="s">
        <v>83</v>
      </c>
    </row>
    <row r="31" spans="1:4" x14ac:dyDescent="0.3">
      <c r="A31" t="s">
        <v>30</v>
      </c>
    </row>
    <row r="32" spans="1:4" x14ac:dyDescent="0.3">
      <c r="A32" t="s">
        <v>31</v>
      </c>
    </row>
    <row r="33" spans="1:1" x14ac:dyDescent="0.3">
      <c r="A33" t="s">
        <v>32</v>
      </c>
    </row>
    <row r="34" spans="1:1" x14ac:dyDescent="0.3">
      <c r="A34" t="s">
        <v>33</v>
      </c>
    </row>
    <row r="35" spans="1:1" x14ac:dyDescent="0.3">
      <c r="A35" t="s">
        <v>34</v>
      </c>
    </row>
    <row r="36" spans="1:1" x14ac:dyDescent="0.3">
      <c r="A36" t="s">
        <v>35</v>
      </c>
    </row>
    <row r="37" spans="1:1" x14ac:dyDescent="0.3">
      <c r="A37" t="s">
        <v>36</v>
      </c>
    </row>
    <row r="38" spans="1:1" x14ac:dyDescent="0.3">
      <c r="A38" t="s">
        <v>37</v>
      </c>
    </row>
    <row r="40" spans="1:1" x14ac:dyDescent="0.3">
      <c r="A40" t="s">
        <v>38</v>
      </c>
    </row>
    <row r="41" spans="1:1" x14ac:dyDescent="0.3">
      <c r="A41" t="s">
        <v>39</v>
      </c>
    </row>
    <row r="43" spans="1:1" x14ac:dyDescent="0.3">
      <c r="A43" t="s">
        <v>40</v>
      </c>
    </row>
    <row r="44" spans="1:1" x14ac:dyDescent="0.3">
      <c r="A44" t="s">
        <v>41</v>
      </c>
    </row>
    <row r="45" spans="1:1" x14ac:dyDescent="0.3">
      <c r="A45" t="s">
        <v>40</v>
      </c>
    </row>
    <row r="46" spans="1:1" x14ac:dyDescent="0.3">
      <c r="A46" t="s">
        <v>35</v>
      </c>
    </row>
    <row r="47" spans="1:1" x14ac:dyDescent="0.3">
      <c r="A47" t="s">
        <v>42</v>
      </c>
    </row>
    <row r="48" spans="1:1" x14ac:dyDescent="0.3">
      <c r="A48" t="s">
        <v>43</v>
      </c>
    </row>
    <row r="50" spans="1:1" x14ac:dyDescent="0.3">
      <c r="A50" t="s">
        <v>44</v>
      </c>
    </row>
    <row r="51" spans="1:1" x14ac:dyDescent="0.3">
      <c r="A51" t="s">
        <v>45</v>
      </c>
    </row>
    <row r="53" spans="1:1" x14ac:dyDescent="0.3">
      <c r="A53" t="s">
        <v>46</v>
      </c>
    </row>
    <row r="54" spans="1:1" x14ac:dyDescent="0.3">
      <c r="A54" t="s">
        <v>47</v>
      </c>
    </row>
    <row r="57" spans="1:1" x14ac:dyDescent="0.3">
      <c r="A57" t="s">
        <v>59</v>
      </c>
    </row>
  </sheetData>
  <mergeCells count="2">
    <mergeCell ref="A1:XFD1"/>
    <mergeCell ref="A3:XFD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"/>
  <sheetViews>
    <sheetView workbookViewId="0">
      <selection activeCell="A2" sqref="A2"/>
    </sheetView>
  </sheetViews>
  <sheetFormatPr defaultColWidth="8.77734375" defaultRowHeight="14.4" x14ac:dyDescent="0.3"/>
  <cols>
    <col min="1" max="1" width="13.109375" customWidth="1"/>
    <col min="8" max="8" width="2.44140625" bestFit="1" customWidth="1"/>
    <col min="9" max="9" width="75.44140625" bestFit="1" customWidth="1"/>
  </cols>
  <sheetData>
    <row r="1" spans="1:9" s="75" customFormat="1" ht="22.8" thickBot="1" x14ac:dyDescent="0.45">
      <c r="A1" s="75" t="s">
        <v>183</v>
      </c>
    </row>
    <row r="2" spans="1:9" ht="15" thickTop="1" x14ac:dyDescent="0.3">
      <c r="A2" s="4"/>
    </row>
    <row r="3" spans="1:9" s="73" customFormat="1" x14ac:dyDescent="0.3">
      <c r="A3" s="73" t="s">
        <v>186</v>
      </c>
    </row>
    <row r="4" spans="1:9" s="54" customFormat="1" x14ac:dyDescent="0.3">
      <c r="A4" s="4"/>
    </row>
    <row r="5" spans="1:9" ht="16.2" x14ac:dyDescent="0.3">
      <c r="A5" t="s">
        <v>177</v>
      </c>
      <c r="H5" s="74" t="s">
        <v>62</v>
      </c>
      <c r="I5" s="74"/>
    </row>
    <row r="6" spans="1:9" x14ac:dyDescent="0.3">
      <c r="A6" t="s">
        <v>55</v>
      </c>
      <c r="H6" t="s">
        <v>64</v>
      </c>
      <c r="I6" t="s">
        <v>65</v>
      </c>
    </row>
    <row r="7" spans="1:9" x14ac:dyDescent="0.3">
      <c r="H7" t="s">
        <v>63</v>
      </c>
      <c r="I7" t="s">
        <v>66</v>
      </c>
    </row>
    <row r="8" spans="1:9" ht="16.2" x14ac:dyDescent="0.3">
      <c r="A8" t="s">
        <v>49</v>
      </c>
      <c r="B8" t="s">
        <v>178</v>
      </c>
      <c r="H8" s="7" t="s">
        <v>74</v>
      </c>
      <c r="I8" s="5">
        <f>(3.463-3.343)/(0.5*(3.463+3.343))/2</f>
        <v>1.7631501616220999E-2</v>
      </c>
    </row>
    <row r="9" spans="1:9" ht="16.2" x14ac:dyDescent="0.3">
      <c r="A9" t="s">
        <v>50</v>
      </c>
      <c r="B9" t="s">
        <v>179</v>
      </c>
      <c r="I9" t="s">
        <v>77</v>
      </c>
    </row>
    <row r="10" spans="1:9" ht="16.2" x14ac:dyDescent="0.3">
      <c r="A10" t="s">
        <v>51</v>
      </c>
      <c r="B10" t="s">
        <v>180</v>
      </c>
    </row>
    <row r="11" spans="1:9" x14ac:dyDescent="0.3">
      <c r="A11" t="s">
        <v>52</v>
      </c>
      <c r="B11" t="s">
        <v>58</v>
      </c>
    </row>
    <row r="13" spans="1:9" x14ac:dyDescent="0.3">
      <c r="A13" t="s">
        <v>53</v>
      </c>
      <c r="B13">
        <f>(3.441-3.293)*24/23*23</f>
        <v>3.5519999999999929</v>
      </c>
      <c r="C13" t="s">
        <v>48</v>
      </c>
      <c r="D13" t="s">
        <v>54</v>
      </c>
      <c r="E13" t="s">
        <v>75</v>
      </c>
    </row>
    <row r="14" spans="1:9" x14ac:dyDescent="0.3">
      <c r="A14" t="s">
        <v>56</v>
      </c>
      <c r="B14">
        <v>0</v>
      </c>
      <c r="C14" t="s">
        <v>48</v>
      </c>
    </row>
    <row r="15" spans="1:9" x14ac:dyDescent="0.3">
      <c r="A15" t="s">
        <v>57</v>
      </c>
      <c r="B15">
        <v>0</v>
      </c>
      <c r="C15" t="s">
        <v>48</v>
      </c>
    </row>
    <row r="17" spans="1:1" ht="16.2" x14ac:dyDescent="0.3">
      <c r="A17" s="3" t="s">
        <v>60</v>
      </c>
    </row>
    <row r="18" spans="1:1" x14ac:dyDescent="0.3">
      <c r="A18" s="3" t="s">
        <v>61</v>
      </c>
    </row>
  </sheetData>
  <mergeCells count="3">
    <mergeCell ref="H5:I5"/>
    <mergeCell ref="A1:XFD1"/>
    <mergeCell ref="A3:XFD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A2" sqref="A2"/>
    </sheetView>
  </sheetViews>
  <sheetFormatPr defaultColWidth="8.77734375" defaultRowHeight="14.4" x14ac:dyDescent="0.3"/>
  <sheetData>
    <row r="1" spans="1:1" s="75" customFormat="1" ht="22.8" thickBot="1" x14ac:dyDescent="0.45">
      <c r="A1" s="75" t="s">
        <v>176</v>
      </c>
    </row>
    <row r="2" spans="1:1" ht="15" thickTop="1" x14ac:dyDescent="0.3"/>
    <row r="3" spans="1:1" x14ac:dyDescent="0.3">
      <c r="A3" t="s">
        <v>82</v>
      </c>
    </row>
    <row r="4" spans="1:1" x14ac:dyDescent="0.3">
      <c r="A4" s="6" t="s">
        <v>67</v>
      </c>
    </row>
    <row r="5" spans="1:1" x14ac:dyDescent="0.3">
      <c r="A5" t="s">
        <v>76</v>
      </c>
    </row>
  </sheetData>
  <mergeCells count="1">
    <mergeCell ref="A1:XFD1"/>
  </mergeCells>
  <hyperlinks>
    <hyperlink ref="A4" r:id="rId1" xr:uid="{00000000-0004-0000-0200-000000000000}"/>
  </hyperlinks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6"/>
  <sheetViews>
    <sheetView topLeftCell="A22" workbookViewId="0">
      <selection activeCell="H38" sqref="H38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7.44140625" bestFit="1" customWidth="1"/>
    <col min="5" max="5" width="14.109375" bestFit="1" customWidth="1"/>
    <col min="6" max="6" width="8.21875" bestFit="1" customWidth="1"/>
    <col min="8" max="8" width="8.109375" bestFit="1" customWidth="1"/>
  </cols>
  <sheetData>
    <row r="1" spans="1:6" s="75" customFormat="1" ht="20.399999999999999" thickBot="1" x14ac:dyDescent="0.45">
      <c r="A1" s="75" t="s">
        <v>160</v>
      </c>
    </row>
    <row r="2" spans="1:6" ht="15" thickTop="1" x14ac:dyDescent="0.3">
      <c r="A2" s="4"/>
    </row>
    <row r="3" spans="1:6" s="73" customFormat="1" x14ac:dyDescent="0.3">
      <c r="A3" s="73" t="s">
        <v>161</v>
      </c>
    </row>
    <row r="4" spans="1:6" s="76" customFormat="1" x14ac:dyDescent="0.3">
      <c r="A4" s="76" t="s">
        <v>162</v>
      </c>
    </row>
    <row r="5" spans="1:6" s="76" customFormat="1" ht="15.6" x14ac:dyDescent="0.35">
      <c r="A5" s="76" t="s">
        <v>163</v>
      </c>
    </row>
    <row r="6" spans="1:6" s="76" customFormat="1" ht="16.8" x14ac:dyDescent="0.35">
      <c r="A6" s="76" t="s">
        <v>164</v>
      </c>
    </row>
    <row r="7" spans="1:6" s="76" customFormat="1" x14ac:dyDescent="0.3">
      <c r="A7" s="76" t="s">
        <v>165</v>
      </c>
    </row>
    <row r="8" spans="1:6" s="76" customFormat="1" ht="16.2" x14ac:dyDescent="0.3">
      <c r="A8" s="76" t="s">
        <v>166</v>
      </c>
    </row>
    <row r="9" spans="1:6" s="76" customFormat="1" x14ac:dyDescent="0.3">
      <c r="A9" s="76" t="s">
        <v>170</v>
      </c>
    </row>
    <row r="10" spans="1:6" x14ac:dyDescent="0.3">
      <c r="A10" s="71"/>
    </row>
    <row r="11" spans="1:6" x14ac:dyDescent="0.3">
      <c r="A11" s="12" t="s">
        <v>68</v>
      </c>
      <c r="B11">
        <f>0.5+2.365+0.5+0.26+0.28+0.26+1.75</f>
        <v>5.915</v>
      </c>
      <c r="C11" t="s">
        <v>69</v>
      </c>
    </row>
    <row r="12" spans="1:6" x14ac:dyDescent="0.3">
      <c r="A12" s="12" t="s">
        <v>87</v>
      </c>
      <c r="B12">
        <v>0.8</v>
      </c>
    </row>
    <row r="13" spans="1:6" x14ac:dyDescent="0.3">
      <c r="A13" s="12" t="s">
        <v>92</v>
      </c>
      <c r="B13">
        <v>0.34010000000000001</v>
      </c>
    </row>
    <row r="14" spans="1:6" ht="30" x14ac:dyDescent="0.3">
      <c r="A14" s="8" t="s">
        <v>90</v>
      </c>
      <c r="B14" s="8" t="s">
        <v>89</v>
      </c>
      <c r="C14" s="8" t="s">
        <v>97</v>
      </c>
      <c r="D14" s="8" t="s">
        <v>91</v>
      </c>
      <c r="E14" s="8" t="s">
        <v>93</v>
      </c>
      <c r="F14" s="8" t="s">
        <v>94</v>
      </c>
    </row>
    <row r="15" spans="1:6" x14ac:dyDescent="0.3">
      <c r="A15" s="9">
        <v>-0.1</v>
      </c>
      <c r="B15" s="10">
        <f t="shared" ref="B15:B30" si="0">A15/0.13</f>
        <v>-0.76923076923076927</v>
      </c>
      <c r="C15" s="10">
        <f>SQRT(ABS(B15)/B$12)</f>
        <v>0.98058067569092022</v>
      </c>
      <c r="D15" s="10">
        <f t="shared" ref="D15:D23" si="1">-C15*SINH(C15*B$13)</f>
        <v>-0.33311483471319503</v>
      </c>
      <c r="E15" s="11">
        <v>4.9200331508640199E-3</v>
      </c>
      <c r="F15" s="11">
        <f t="shared" ref="F15:F30" si="2">E15^2</f>
        <v>2.4206726205600935E-5</v>
      </c>
    </row>
    <row r="16" spans="1:6" x14ac:dyDescent="0.3">
      <c r="A16" s="9">
        <v>-0.09</v>
      </c>
      <c r="B16" s="10">
        <f t="shared" si="0"/>
        <v>-0.69230769230769229</v>
      </c>
      <c r="C16" s="10">
        <f t="shared" ref="C16:C30" si="3">SQRT(ABS(B16)/B$12)</f>
        <v>0.93026050941906335</v>
      </c>
      <c r="D16" s="10">
        <f t="shared" si="1"/>
        <v>-0.29925200265179647</v>
      </c>
      <c r="E16" s="11">
        <v>4.2512927528120803E-3</v>
      </c>
      <c r="F16" s="11">
        <f t="shared" si="2"/>
        <v>1.8073490070112517E-5</v>
      </c>
    </row>
    <row r="17" spans="1:6" x14ac:dyDescent="0.3">
      <c r="A17" s="9">
        <v>-0.08</v>
      </c>
      <c r="B17" s="10">
        <f t="shared" si="0"/>
        <v>-0.61538461538461542</v>
      </c>
      <c r="C17" s="10">
        <f t="shared" si="3"/>
        <v>0.8770580193070292</v>
      </c>
      <c r="D17" s="10">
        <f t="shared" si="1"/>
        <v>-0.2655122357178093</v>
      </c>
      <c r="E17" s="11">
        <v>3.5861601857807299E-3</v>
      </c>
      <c r="F17" s="11">
        <f t="shared" si="2"/>
        <v>1.2860544878078879E-5</v>
      </c>
    </row>
    <row r="18" spans="1:6" x14ac:dyDescent="0.3">
      <c r="A18" s="9">
        <v>-7.0000000000000007E-2</v>
      </c>
      <c r="B18" s="10">
        <f t="shared" si="0"/>
        <v>-0.53846153846153855</v>
      </c>
      <c r="C18" s="10">
        <f t="shared" si="3"/>
        <v>0.82041265414236697</v>
      </c>
      <c r="D18" s="10">
        <f t="shared" si="1"/>
        <v>-0.23189532982740668</v>
      </c>
      <c r="E18" s="11">
        <v>2.9246200470683598E-3</v>
      </c>
      <c r="F18" s="11">
        <f t="shared" si="2"/>
        <v>8.5534024197141349E-6</v>
      </c>
    </row>
    <row r="19" spans="1:6" x14ac:dyDescent="0.3">
      <c r="A19" s="9">
        <v>-0.06</v>
      </c>
      <c r="B19" s="10">
        <f t="shared" si="0"/>
        <v>-0.46153846153846151</v>
      </c>
      <c r="C19" s="10">
        <f t="shared" si="3"/>
        <v>0.75955452531274992</v>
      </c>
      <c r="D19" s="10">
        <f t="shared" si="1"/>
        <v>-0.19840108111232541</v>
      </c>
      <c r="E19" s="11">
        <v>2.2666692807722598E-3</v>
      </c>
      <c r="F19" s="11">
        <f t="shared" si="2"/>
        <v>5.1377896283966336E-6</v>
      </c>
    </row>
    <row r="20" spans="1:6" x14ac:dyDescent="0.3">
      <c r="A20" s="9">
        <v>-0.05</v>
      </c>
      <c r="B20" s="10">
        <f t="shared" si="0"/>
        <v>-0.38461538461538464</v>
      </c>
      <c r="C20" s="10">
        <f t="shared" si="3"/>
        <v>0.69337524528153638</v>
      </c>
      <c r="D20" s="10">
        <f t="shared" si="1"/>
        <v>-0.16502928591969981</v>
      </c>
      <c r="E20" s="11">
        <v>1.6122928463584501E-3</v>
      </c>
      <c r="F20" s="11">
        <f t="shared" si="2"/>
        <v>2.5994882224186326E-6</v>
      </c>
    </row>
    <row r="21" spans="1:6" x14ac:dyDescent="0.3">
      <c r="A21" s="9">
        <v>-3.9999999999999897E-2</v>
      </c>
      <c r="B21" s="10">
        <f t="shared" si="0"/>
        <v>-0.30769230769230688</v>
      </c>
      <c r="C21" s="10">
        <f t="shared" si="3"/>
        <v>0.62017367294604142</v>
      </c>
      <c r="D21" s="10">
        <f t="shared" si="1"/>
        <v>-0.131779740811895</v>
      </c>
      <c r="E21" s="11">
        <v>9.6148136557953402E-4</v>
      </c>
      <c r="F21" s="11">
        <f t="shared" si="2"/>
        <v>9.2444641635668559E-7</v>
      </c>
    </row>
    <row r="22" spans="1:6" x14ac:dyDescent="0.3">
      <c r="A22" s="9">
        <v>-2.9999999999999898E-2</v>
      </c>
      <c r="B22" s="10">
        <f t="shared" si="0"/>
        <v>-0.23076923076922998</v>
      </c>
      <c r="C22" s="10">
        <f t="shared" si="3"/>
        <v>0.53708615552957373</v>
      </c>
      <c r="D22" s="10">
        <f t="shared" si="1"/>
        <v>-9.8652242566342502E-2</v>
      </c>
      <c r="E22" s="21">
        <v>6.2389924446269599E-4</v>
      </c>
      <c r="F22" s="11">
        <f t="shared" si="2"/>
        <v>3.8925026724112289E-7</v>
      </c>
    </row>
    <row r="23" spans="1:6" x14ac:dyDescent="0.3">
      <c r="A23" s="9">
        <v>-1.99999999999999E-2</v>
      </c>
      <c r="B23" s="10">
        <f t="shared" si="0"/>
        <v>-0.15384615384615308</v>
      </c>
      <c r="C23" s="10">
        <f t="shared" si="3"/>
        <v>0.43852900965351349</v>
      </c>
      <c r="D23" s="10">
        <f t="shared" si="1"/>
        <v>-6.5646588175372042E-2</v>
      </c>
      <c r="E23" s="11">
        <v>9.0928207358094903E-4</v>
      </c>
      <c r="F23" s="11">
        <f t="shared" si="2"/>
        <v>8.267938893356704E-7</v>
      </c>
    </row>
    <row r="24" spans="1:6" x14ac:dyDescent="0.3">
      <c r="A24" s="9">
        <v>-9.99999999999991E-3</v>
      </c>
      <c r="B24" s="10">
        <f t="shared" si="0"/>
        <v>-7.6923076923076233E-2</v>
      </c>
      <c r="C24" s="10">
        <f t="shared" si="3"/>
        <v>0.31008683647301977</v>
      </c>
      <c r="D24" s="10">
        <f>-C24*SINH(C24*B$13)</f>
        <v>-3.2762574846047332E-2</v>
      </c>
      <c r="E24" s="11">
        <v>1.19307162081399E-3</v>
      </c>
      <c r="F24" s="11">
        <f t="shared" si="2"/>
        <v>1.4234198923917211E-6</v>
      </c>
    </row>
    <row r="25" spans="1:6" x14ac:dyDescent="0.3">
      <c r="A25" s="9">
        <v>1E-3</v>
      </c>
      <c r="B25" s="10">
        <f t="shared" si="0"/>
        <v>7.6923076923076919E-3</v>
      </c>
      <c r="C25" s="10">
        <f t="shared" si="3"/>
        <v>9.8058067569092008E-2</v>
      </c>
      <c r="D25" s="10">
        <f t="shared" ref="D25:D29" si="4">C25*SINH(C25*B$13)</f>
        <v>3.2707985219099563E-3</v>
      </c>
      <c r="E25" s="11">
        <v>1.6698024153945399E-3</v>
      </c>
      <c r="F25" s="11">
        <f t="shared" si="2"/>
        <v>2.7882401064574396E-6</v>
      </c>
    </row>
    <row r="26" spans="1:6" x14ac:dyDescent="0.3">
      <c r="A26" s="9">
        <v>0.01</v>
      </c>
      <c r="B26" s="10">
        <f t="shared" si="0"/>
        <v>7.6923076923076927E-2</v>
      </c>
      <c r="C26" s="10">
        <f t="shared" si="3"/>
        <v>0.31008683647302115</v>
      </c>
      <c r="D26" s="10">
        <f t="shared" si="4"/>
        <v>3.2762574846047623E-2</v>
      </c>
      <c r="E26" s="11">
        <v>2.2394696094846199E-3</v>
      </c>
      <c r="F26" s="11">
        <f t="shared" si="2"/>
        <v>5.0152241318051957E-6</v>
      </c>
    </row>
    <row r="27" spans="1:6" x14ac:dyDescent="0.3">
      <c r="A27" s="9">
        <v>0.02</v>
      </c>
      <c r="B27" s="10">
        <f t="shared" si="0"/>
        <v>0.15384615384615385</v>
      </c>
      <c r="C27" s="10">
        <f t="shared" si="3"/>
        <v>0.4385290096535146</v>
      </c>
      <c r="D27" s="10">
        <f t="shared" si="4"/>
        <v>6.5646588175372375E-2</v>
      </c>
      <c r="E27" s="11">
        <v>2.8691051558586999E-3</v>
      </c>
      <c r="F27" s="11">
        <f t="shared" si="2"/>
        <v>8.2317643953749741E-6</v>
      </c>
    </row>
    <row r="28" spans="1:6" x14ac:dyDescent="0.3">
      <c r="A28" s="9">
        <v>0.03</v>
      </c>
      <c r="B28" s="10">
        <f t="shared" si="0"/>
        <v>0.23076923076923075</v>
      </c>
      <c r="C28" s="10">
        <f t="shared" si="3"/>
        <v>0.53708615552957462</v>
      </c>
      <c r="D28" s="10">
        <f t="shared" si="4"/>
        <v>9.8652242566342821E-2</v>
      </c>
      <c r="E28" s="11">
        <v>3.4952662027439799E-3</v>
      </c>
      <c r="F28" s="11">
        <f t="shared" si="2"/>
        <v>1.2216885828044321E-5</v>
      </c>
    </row>
    <row r="29" spans="1:6" x14ac:dyDescent="0.3">
      <c r="A29" s="9">
        <v>0.04</v>
      </c>
      <c r="B29" s="10">
        <f t="shared" si="0"/>
        <v>0.30769230769230771</v>
      </c>
      <c r="C29" s="10">
        <f t="shared" si="3"/>
        <v>0.62017367294604231</v>
      </c>
      <c r="D29" s="10">
        <f t="shared" si="4"/>
        <v>0.13177974081189536</v>
      </c>
      <c r="E29" s="11">
        <v>4.1179326519645999E-3</v>
      </c>
      <c r="F29" s="11">
        <f t="shared" si="2"/>
        <v>1.6957369326116202E-5</v>
      </c>
    </row>
    <row r="30" spans="1:6" x14ac:dyDescent="0.3">
      <c r="A30" s="9">
        <v>0.05</v>
      </c>
      <c r="B30" s="10">
        <f t="shared" si="0"/>
        <v>0.38461538461538464</v>
      </c>
      <c r="C30" s="10">
        <f t="shared" si="3"/>
        <v>0.69337524528153638</v>
      </c>
      <c r="D30" s="10">
        <f>C30*SINH(C30*B$13)</f>
        <v>0.16502928591969981</v>
      </c>
      <c r="E30" s="11">
        <v>4.7371257726572897E-3</v>
      </c>
      <c r="F30" s="11">
        <f t="shared" si="2"/>
        <v>2.2440360585973924E-5</v>
      </c>
    </row>
    <row r="32" spans="1:6" x14ac:dyDescent="0.3">
      <c r="A32" s="4" t="s">
        <v>78</v>
      </c>
    </row>
    <row r="33" spans="1:10" ht="15.6" x14ac:dyDescent="0.35">
      <c r="A33" s="12" t="s">
        <v>70</v>
      </c>
      <c r="B33" s="1">
        <f>INDEX(LINEST($F$15:$F$30,$D$15:$D$30^{1,2}),1)</f>
        <v>3.7129243755021167E-4</v>
      </c>
      <c r="C33" s="1"/>
      <c r="D33" s="12" t="s">
        <v>73</v>
      </c>
      <c r="E33" s="1">
        <f>B33</f>
        <v>3.7129243755021167E-4</v>
      </c>
      <c r="G33" s="18" t="s">
        <v>167</v>
      </c>
      <c r="H33" s="17">
        <f>SQRT(E33*E35)/B11^2*PI()</f>
        <v>8.4273388624184484E-7</v>
      </c>
      <c r="I33" t="s">
        <v>95</v>
      </c>
    </row>
    <row r="34" spans="1:10" ht="15.6" x14ac:dyDescent="0.35">
      <c r="A34" s="13" t="s">
        <v>81</v>
      </c>
      <c r="B34" s="1">
        <f>INDEX(LINEST($F$15:$F$30,$D$15:$D$30^{1,2}),1,2)</f>
        <v>5.9844957589776386E-5</v>
      </c>
      <c r="C34" s="1"/>
      <c r="D34" s="12" t="s">
        <v>71</v>
      </c>
      <c r="E34" s="1">
        <f>B34/(-2*E33)</f>
        <v>-8.0590057239831689E-2</v>
      </c>
      <c r="G34" s="18" t="s">
        <v>168</v>
      </c>
      <c r="H34" s="17">
        <f>PI()*0.001*0.0002</f>
        <v>6.2831853071795864E-7</v>
      </c>
      <c r="I34" t="s">
        <v>95</v>
      </c>
    </row>
    <row r="35" spans="1:10" ht="16.2" x14ac:dyDescent="0.3">
      <c r="A35" s="12" t="s">
        <v>79</v>
      </c>
      <c r="B35" s="1">
        <f>INDEX(LINEST($F$15:$F$30,$D$15:$D$30^{1,2}),1,3)</f>
        <v>2.648692173472907E-6</v>
      </c>
      <c r="C35" s="1"/>
      <c r="D35" s="12" t="s">
        <v>72</v>
      </c>
      <c r="E35" s="1">
        <f>B35-E33*E34^2</f>
        <v>2.372378946352176E-7</v>
      </c>
      <c r="G35" s="18" t="s">
        <v>80</v>
      </c>
      <c r="H35" s="19">
        <f>H33/H34</f>
        <v>1.3412526370643261</v>
      </c>
    </row>
    <row r="36" spans="1:10" x14ac:dyDescent="0.3">
      <c r="D36" s="1"/>
    </row>
    <row r="37" spans="1:10" ht="15.6" x14ac:dyDescent="0.35">
      <c r="D37" s="20" t="s">
        <v>84</v>
      </c>
      <c r="E37" s="1">
        <f>E33/B11^2</f>
        <v>1.0612228822097542E-5</v>
      </c>
      <c r="G37" s="14" t="s">
        <v>169</v>
      </c>
      <c r="H37" s="15">
        <f>SQRT(E37*E39-E38^2)*PI()</f>
        <v>8.4273388624184431E-7</v>
      </c>
      <c r="I37" t="s">
        <v>95</v>
      </c>
      <c r="J37" t="s">
        <v>96</v>
      </c>
    </row>
    <row r="38" spans="1:10" ht="15.6" x14ac:dyDescent="0.35">
      <c r="D38" s="20" t="s">
        <v>85</v>
      </c>
      <c r="E38" s="1">
        <f>-(E33/B11^2)*(1/B11+E34)</f>
        <v>-9.3888139707618329E-7</v>
      </c>
    </row>
    <row r="39" spans="1:10" ht="15.6" x14ac:dyDescent="0.35">
      <c r="D39" s="20" t="s">
        <v>86</v>
      </c>
      <c r="E39" s="1">
        <f>(1/B11^2)*(E33*E34^2+E35+2*E33*E34/B11+E33/B11^2)</f>
        <v>8.9845087136422312E-8</v>
      </c>
    </row>
    <row r="40" spans="1:10" x14ac:dyDescent="0.3">
      <c r="D40" s="1"/>
    </row>
    <row r="41" spans="1:10" x14ac:dyDescent="0.3">
      <c r="C41" s="1"/>
      <c r="D41" s="1"/>
    </row>
    <row r="42" spans="1:10" x14ac:dyDescent="0.3">
      <c r="C42" s="1"/>
      <c r="D42" s="1"/>
    </row>
    <row r="43" spans="1:10" x14ac:dyDescent="0.3">
      <c r="C43" s="1"/>
      <c r="D43" s="1"/>
    </row>
    <row r="44" spans="1:10" x14ac:dyDescent="0.3">
      <c r="C44" s="1"/>
      <c r="D44" s="1"/>
    </row>
    <row r="45" spans="1:10" x14ac:dyDescent="0.3">
      <c r="C45" s="1"/>
      <c r="D45" s="1"/>
    </row>
    <row r="46" spans="1:10" x14ac:dyDescent="0.3">
      <c r="C46" s="1"/>
      <c r="D46" s="1"/>
    </row>
  </sheetData>
  <sortState ref="A13:D29">
    <sortCondition ref="A13"/>
  </sortState>
  <mergeCells count="8">
    <mergeCell ref="A7:XFD7"/>
    <mergeCell ref="A8:XFD8"/>
    <mergeCell ref="A9:XFD9"/>
    <mergeCell ref="A1:XFD1"/>
    <mergeCell ref="A3:XFD3"/>
    <mergeCell ref="A4:XFD4"/>
    <mergeCell ref="A5:XFD5"/>
    <mergeCell ref="A6:XFD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40"/>
  <sheetViews>
    <sheetView topLeftCell="D7" workbookViewId="0">
      <selection activeCell="G31" sqref="G31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8.44140625" bestFit="1" customWidth="1"/>
    <col min="4" max="4" width="11" bestFit="1" customWidth="1"/>
    <col min="5" max="5" width="13.21875" customWidth="1"/>
    <col min="6" max="6" width="15.109375" bestFit="1" customWidth="1"/>
    <col min="7" max="7" width="7.44140625" bestFit="1" customWidth="1"/>
    <col min="8" max="8" width="14.109375" bestFit="1" customWidth="1"/>
    <col min="9" max="9" width="8.21875" bestFit="1" customWidth="1"/>
  </cols>
  <sheetData>
    <row r="1" spans="1:9" s="75" customFormat="1" ht="20.399999999999999" thickBot="1" x14ac:dyDescent="0.45">
      <c r="A1" s="75" t="s">
        <v>171</v>
      </c>
    </row>
    <row r="2" spans="1:9" ht="15" thickTop="1" x14ac:dyDescent="0.3">
      <c r="A2" s="4"/>
    </row>
    <row r="3" spans="1:9" s="73" customFormat="1" ht="13.8" customHeight="1" x14ac:dyDescent="0.3">
      <c r="A3" s="73" t="s">
        <v>172</v>
      </c>
    </row>
    <row r="4" spans="1:9" x14ac:dyDescent="0.3">
      <c r="A4" s="4"/>
    </row>
    <row r="5" spans="1:9" x14ac:dyDescent="0.3">
      <c r="A5" s="12" t="s">
        <v>68</v>
      </c>
      <c r="B5">
        <f>0.5+2.365+0.5+0.26+0.28+0.26+1.75</f>
        <v>5.915</v>
      </c>
      <c r="C5" t="s">
        <v>69</v>
      </c>
      <c r="F5" s="26" t="s">
        <v>101</v>
      </c>
    </row>
    <row r="6" spans="1:9" x14ac:dyDescent="0.3">
      <c r="A6" s="12" t="s">
        <v>87</v>
      </c>
      <c r="B6">
        <v>0.8</v>
      </c>
    </row>
    <row r="7" spans="1:9" x14ac:dyDescent="0.3">
      <c r="A7" s="12" t="s">
        <v>92</v>
      </c>
      <c r="B7">
        <v>0.34010000000000001</v>
      </c>
    </row>
    <row r="8" spans="1:9" ht="30" x14ac:dyDescent="0.3">
      <c r="A8" s="8" t="s">
        <v>90</v>
      </c>
      <c r="B8" s="8" t="s">
        <v>89</v>
      </c>
      <c r="C8" s="8" t="s">
        <v>97</v>
      </c>
      <c r="D8" s="8" t="s">
        <v>98</v>
      </c>
      <c r="E8" s="8" t="s">
        <v>99</v>
      </c>
      <c r="F8" s="8" t="s">
        <v>100</v>
      </c>
      <c r="G8" s="8" t="s">
        <v>91</v>
      </c>
      <c r="H8" s="8" t="s">
        <v>93</v>
      </c>
      <c r="I8" s="8" t="s">
        <v>94</v>
      </c>
    </row>
    <row r="9" spans="1:9" x14ac:dyDescent="0.3">
      <c r="A9" s="9">
        <v>-0.1</v>
      </c>
      <c r="B9" s="10">
        <f t="shared" ref="B9:B24" si="0">A9/0.13</f>
        <v>-0.76923076923076927</v>
      </c>
      <c r="C9" s="10">
        <f>SQRT(ABS(B9)/B$6)</f>
        <v>0.98058067569092022</v>
      </c>
      <c r="D9" s="10">
        <f>COSH(C9*B$7)</f>
        <v>1.0561269397332118</v>
      </c>
      <c r="E9" s="10">
        <f>C9*SINH(C9*B$7)</f>
        <v>0.33311483471319503</v>
      </c>
      <c r="F9" s="25">
        <f t="shared" ref="F9:F24" si="1">1/C9*SINH(C9*B$7)</f>
        <v>0.34643942810172279</v>
      </c>
      <c r="G9" s="10">
        <f t="shared" ref="G9:G18" si="2">-C9*SINH(C9*B$7)</f>
        <v>-0.33311483471319503</v>
      </c>
      <c r="H9" s="11">
        <v>4.9200331508640199E-3</v>
      </c>
      <c r="I9" s="11">
        <f t="shared" ref="I9:I24" si="3">H9^2</f>
        <v>2.4206726205600935E-5</v>
      </c>
    </row>
    <row r="10" spans="1:9" x14ac:dyDescent="0.3">
      <c r="A10" s="9">
        <v>-0.09</v>
      </c>
      <c r="B10" s="10">
        <f t="shared" si="0"/>
        <v>-0.69230769230769229</v>
      </c>
      <c r="C10" s="10">
        <f t="shared" ref="C10:C24" si="4">SQRT(ABS(B10)/B$6)</f>
        <v>0.93026050941906335</v>
      </c>
      <c r="D10" s="10">
        <f t="shared" ref="D10:D24" si="5">COSH(C10*B$7)</f>
        <v>1.0504675316441803</v>
      </c>
      <c r="E10" s="10">
        <f t="shared" ref="E10:E24" si="6">C10*SINH(C10*B$7)</f>
        <v>0.29925200265179647</v>
      </c>
      <c r="F10" s="25">
        <f t="shared" si="1"/>
        <v>0.34580231417540935</v>
      </c>
      <c r="G10" s="10">
        <f t="shared" si="2"/>
        <v>-0.29925200265179647</v>
      </c>
      <c r="H10" s="11">
        <v>4.2512927528120803E-3</v>
      </c>
      <c r="I10" s="11">
        <f t="shared" si="3"/>
        <v>1.8073490070112517E-5</v>
      </c>
    </row>
    <row r="11" spans="1:9" x14ac:dyDescent="0.3">
      <c r="A11" s="9">
        <v>-0.08</v>
      </c>
      <c r="B11" s="10">
        <f t="shared" si="0"/>
        <v>-0.61538461538461542</v>
      </c>
      <c r="C11" s="10">
        <f t="shared" si="4"/>
        <v>0.8770580193070292</v>
      </c>
      <c r="D11" s="10">
        <f t="shared" si="5"/>
        <v>1.0448185352062962</v>
      </c>
      <c r="E11" s="10">
        <f t="shared" si="6"/>
        <v>0.2655122357178093</v>
      </c>
      <c r="F11" s="25">
        <f t="shared" si="1"/>
        <v>0.34516590643315215</v>
      </c>
      <c r="G11" s="10">
        <f t="shared" si="2"/>
        <v>-0.2655122357178093</v>
      </c>
      <c r="H11" s="11">
        <v>3.5861601857807299E-3</v>
      </c>
      <c r="I11" s="11">
        <f t="shared" si="3"/>
        <v>1.2860544878078879E-5</v>
      </c>
    </row>
    <row r="12" spans="1:9" x14ac:dyDescent="0.3">
      <c r="A12" s="9">
        <v>-7.0000000000000007E-2</v>
      </c>
      <c r="B12" s="10">
        <f t="shared" si="0"/>
        <v>-0.53846153846153855</v>
      </c>
      <c r="C12" s="10">
        <f t="shared" si="4"/>
        <v>0.82041265414236697</v>
      </c>
      <c r="D12" s="10">
        <f t="shared" si="5"/>
        <v>1.0391799388773495</v>
      </c>
      <c r="E12" s="10">
        <f t="shared" si="6"/>
        <v>0.23189532982740668</v>
      </c>
      <c r="F12" s="25">
        <f t="shared" si="1"/>
        <v>0.3445302043150042</v>
      </c>
      <c r="G12" s="10">
        <f t="shared" si="2"/>
        <v>-0.23189532982740668</v>
      </c>
      <c r="H12" s="11">
        <v>2.9246200470683598E-3</v>
      </c>
      <c r="I12" s="11">
        <f t="shared" si="3"/>
        <v>8.5534024197141349E-6</v>
      </c>
    </row>
    <row r="13" spans="1:9" x14ac:dyDescent="0.3">
      <c r="A13" s="9">
        <v>-0.06</v>
      </c>
      <c r="B13" s="10">
        <f t="shared" si="0"/>
        <v>-0.46153846153846151</v>
      </c>
      <c r="C13" s="10">
        <f t="shared" si="4"/>
        <v>0.75955452531274992</v>
      </c>
      <c r="D13" s="10">
        <f t="shared" si="5"/>
        <v>1.0335517311242828</v>
      </c>
      <c r="E13" s="10">
        <f t="shared" si="6"/>
        <v>0.19840108111232541</v>
      </c>
      <c r="F13" s="25">
        <f t="shared" si="1"/>
        <v>0.34389520726136408</v>
      </c>
      <c r="G13" s="10">
        <f t="shared" si="2"/>
        <v>-0.19840108111232541</v>
      </c>
      <c r="H13" s="11">
        <v>2.2666692807722598E-3</v>
      </c>
      <c r="I13" s="11">
        <f t="shared" si="3"/>
        <v>5.1377896283966336E-6</v>
      </c>
    </row>
    <row r="14" spans="1:9" x14ac:dyDescent="0.3">
      <c r="A14" s="9">
        <v>-0.05</v>
      </c>
      <c r="B14" s="10">
        <f t="shared" si="0"/>
        <v>-0.38461538461538464</v>
      </c>
      <c r="C14" s="10">
        <f t="shared" si="4"/>
        <v>0.69337524528153638</v>
      </c>
      <c r="D14" s="10">
        <f t="shared" si="5"/>
        <v>1.0279339004231864</v>
      </c>
      <c r="E14" s="10">
        <f t="shared" si="6"/>
        <v>0.16502928591969981</v>
      </c>
      <c r="F14" s="25">
        <f t="shared" si="1"/>
        <v>0.34326091471297565</v>
      </c>
      <c r="G14" s="10">
        <f t="shared" si="2"/>
        <v>-0.16502928591969981</v>
      </c>
      <c r="H14" s="11">
        <v>1.6122928463584501E-3</v>
      </c>
      <c r="I14" s="11">
        <f t="shared" si="3"/>
        <v>2.5994882224186326E-6</v>
      </c>
    </row>
    <row r="15" spans="1:9" x14ac:dyDescent="0.3">
      <c r="A15" s="9">
        <v>-3.9999999999999897E-2</v>
      </c>
      <c r="B15" s="10">
        <f t="shared" si="0"/>
        <v>-0.30769230769230688</v>
      </c>
      <c r="C15" s="10">
        <f t="shared" si="4"/>
        <v>0.62017367294604142</v>
      </c>
      <c r="D15" s="10">
        <f t="shared" si="5"/>
        <v>1.0223264352592918</v>
      </c>
      <c r="E15" s="10">
        <f t="shared" si="6"/>
        <v>0.131779740811895</v>
      </c>
      <c r="F15" s="25">
        <f t="shared" si="1"/>
        <v>0.342627326110928</v>
      </c>
      <c r="G15" s="10">
        <f t="shared" si="2"/>
        <v>-0.131779740811895</v>
      </c>
      <c r="H15" s="11">
        <v>9.6148136557953402E-4</v>
      </c>
      <c r="I15" s="11">
        <f t="shared" si="3"/>
        <v>9.2444641635668559E-7</v>
      </c>
    </row>
    <row r="16" spans="1:9" x14ac:dyDescent="0.3">
      <c r="A16" s="9">
        <v>-2.9999999999999898E-2</v>
      </c>
      <c r="B16" s="10">
        <f t="shared" si="0"/>
        <v>-0.23076923076922998</v>
      </c>
      <c r="C16" s="10">
        <f t="shared" si="4"/>
        <v>0.53708615552957373</v>
      </c>
      <c r="D16" s="10">
        <f t="shared" si="5"/>
        <v>1.0167293241269661</v>
      </c>
      <c r="E16" s="10">
        <f t="shared" si="6"/>
        <v>9.8652242566342502E-2</v>
      </c>
      <c r="F16" s="25">
        <f t="shared" si="1"/>
        <v>0.34199444089665521</v>
      </c>
      <c r="G16" s="10">
        <f t="shared" si="2"/>
        <v>-9.8652242566342502E-2</v>
      </c>
      <c r="H16" s="21">
        <v>6.2389924446269599E-4</v>
      </c>
      <c r="I16" s="11">
        <f t="shared" si="3"/>
        <v>3.8925026724112289E-7</v>
      </c>
    </row>
    <row r="17" spans="1:9" x14ac:dyDescent="0.3">
      <c r="A17" s="9">
        <v>-1.99999999999999E-2</v>
      </c>
      <c r="B17" s="10">
        <f t="shared" si="0"/>
        <v>-0.15384615384615308</v>
      </c>
      <c r="C17" s="10">
        <f t="shared" si="4"/>
        <v>0.43852900965351349</v>
      </c>
      <c r="D17" s="10">
        <f t="shared" si="5"/>
        <v>1.0111425555297078</v>
      </c>
      <c r="E17" s="10">
        <f t="shared" si="6"/>
        <v>6.5646588175372042E-2</v>
      </c>
      <c r="F17" s="25">
        <f t="shared" si="1"/>
        <v>0.34136225851193636</v>
      </c>
      <c r="G17" s="10">
        <f t="shared" si="2"/>
        <v>-6.5646588175372042E-2</v>
      </c>
      <c r="H17" s="11">
        <v>9.0928207358094903E-4</v>
      </c>
      <c r="I17" s="11">
        <f t="shared" si="3"/>
        <v>8.267938893356704E-7</v>
      </c>
    </row>
    <row r="18" spans="1:9" x14ac:dyDescent="0.3">
      <c r="A18" s="9">
        <v>-9.99999999999991E-3</v>
      </c>
      <c r="B18" s="10">
        <f t="shared" si="0"/>
        <v>-7.6923076923076233E-2</v>
      </c>
      <c r="C18" s="10">
        <f t="shared" si="4"/>
        <v>0.31008683647301977</v>
      </c>
      <c r="D18" s="10">
        <f t="shared" si="5"/>
        <v>1.0055661179801385</v>
      </c>
      <c r="E18" s="10">
        <f t="shared" si="6"/>
        <v>3.2762574846047332E-2</v>
      </c>
      <c r="F18" s="25">
        <f t="shared" si="1"/>
        <v>0.34073077839889526</v>
      </c>
      <c r="G18" s="10">
        <f t="shared" si="2"/>
        <v>-3.2762574846047332E-2</v>
      </c>
      <c r="H18" s="11">
        <v>1.19307162081399E-3</v>
      </c>
      <c r="I18" s="11">
        <f t="shared" si="3"/>
        <v>1.4234198923917211E-6</v>
      </c>
    </row>
    <row r="19" spans="1:9" x14ac:dyDescent="0.3">
      <c r="A19" s="9">
        <v>1E-3</v>
      </c>
      <c r="B19" s="10">
        <f t="shared" si="0"/>
        <v>7.6923076923076919E-3</v>
      </c>
      <c r="C19" s="10">
        <f t="shared" si="4"/>
        <v>9.8058067569092008E-2</v>
      </c>
      <c r="D19" s="10">
        <f t="shared" si="5"/>
        <v>1.0005561477443314</v>
      </c>
      <c r="E19" s="10">
        <f t="shared" si="6"/>
        <v>3.2707985219099563E-3</v>
      </c>
      <c r="F19" s="25">
        <f t="shared" si="1"/>
        <v>0.34016304627863553</v>
      </c>
      <c r="G19" s="10">
        <f t="shared" ref="G19:G23" si="7">C19*SINH(C19*B$7)</f>
        <v>3.2707985219099563E-3</v>
      </c>
      <c r="H19" s="11">
        <v>1.6698024153945399E-3</v>
      </c>
      <c r="I19" s="11">
        <f t="shared" si="3"/>
        <v>2.7882401064574396E-6</v>
      </c>
    </row>
    <row r="20" spans="1:9" x14ac:dyDescent="0.3">
      <c r="A20" s="9">
        <v>0.01</v>
      </c>
      <c r="B20" s="10">
        <f t="shared" si="0"/>
        <v>7.6923076923076927E-2</v>
      </c>
      <c r="C20" s="10">
        <f t="shared" si="4"/>
        <v>0.31008683647302115</v>
      </c>
      <c r="D20" s="10">
        <f t="shared" si="5"/>
        <v>1.0055661179801385</v>
      </c>
      <c r="E20" s="10">
        <f t="shared" si="6"/>
        <v>3.2762574846047623E-2</v>
      </c>
      <c r="F20" s="25">
        <f t="shared" si="1"/>
        <v>0.34073077839889526</v>
      </c>
      <c r="G20" s="10">
        <f t="shared" si="7"/>
        <v>3.2762574846047623E-2</v>
      </c>
      <c r="H20" s="11">
        <v>2.2394696094846199E-3</v>
      </c>
      <c r="I20" s="11">
        <f t="shared" si="3"/>
        <v>5.0152241318051957E-6</v>
      </c>
    </row>
    <row r="21" spans="1:9" x14ac:dyDescent="0.3">
      <c r="A21" s="9">
        <v>0.02</v>
      </c>
      <c r="B21" s="10">
        <f t="shared" si="0"/>
        <v>0.15384615384615385</v>
      </c>
      <c r="C21" s="10">
        <f t="shared" si="4"/>
        <v>0.4385290096535146</v>
      </c>
      <c r="D21" s="10">
        <f t="shared" si="5"/>
        <v>1.0111425555297078</v>
      </c>
      <c r="E21" s="10">
        <f t="shared" si="6"/>
        <v>6.5646588175372375E-2</v>
      </c>
      <c r="F21" s="25">
        <f t="shared" si="1"/>
        <v>0.34136225851193641</v>
      </c>
      <c r="G21" s="10">
        <f t="shared" si="7"/>
        <v>6.5646588175372375E-2</v>
      </c>
      <c r="H21" s="11">
        <v>2.8691051558586999E-3</v>
      </c>
      <c r="I21" s="11">
        <f t="shared" si="3"/>
        <v>8.2317643953749741E-6</v>
      </c>
    </row>
    <row r="22" spans="1:9" x14ac:dyDescent="0.3">
      <c r="A22" s="9">
        <v>0.03</v>
      </c>
      <c r="B22" s="10">
        <f t="shared" si="0"/>
        <v>0.23076923076923075</v>
      </c>
      <c r="C22" s="10">
        <f t="shared" si="4"/>
        <v>0.53708615552957462</v>
      </c>
      <c r="D22" s="10">
        <f t="shared" si="5"/>
        <v>1.0167293241269664</v>
      </c>
      <c r="E22" s="10">
        <f t="shared" si="6"/>
        <v>9.8652242566342821E-2</v>
      </c>
      <c r="F22" s="25">
        <f t="shared" si="1"/>
        <v>0.34199444089665521</v>
      </c>
      <c r="G22" s="10">
        <f t="shared" si="7"/>
        <v>9.8652242566342821E-2</v>
      </c>
      <c r="H22" s="11">
        <v>3.4952662027439799E-3</v>
      </c>
      <c r="I22" s="11">
        <f t="shared" si="3"/>
        <v>1.2216885828044321E-5</v>
      </c>
    </row>
    <row r="23" spans="1:9" x14ac:dyDescent="0.3">
      <c r="A23" s="9">
        <v>0.04</v>
      </c>
      <c r="B23" s="10">
        <f t="shared" si="0"/>
        <v>0.30769230769230771</v>
      </c>
      <c r="C23" s="10">
        <f t="shared" si="4"/>
        <v>0.62017367294604231</v>
      </c>
      <c r="D23" s="10">
        <f t="shared" si="5"/>
        <v>1.0223264352592918</v>
      </c>
      <c r="E23" s="10">
        <f t="shared" si="6"/>
        <v>0.13177974081189536</v>
      </c>
      <c r="F23" s="25">
        <f t="shared" si="1"/>
        <v>0.34262732611092789</v>
      </c>
      <c r="G23" s="10">
        <f t="shared" si="7"/>
        <v>0.13177974081189536</v>
      </c>
      <c r="H23" s="11">
        <v>4.1179326519645999E-3</v>
      </c>
      <c r="I23" s="11">
        <f t="shared" si="3"/>
        <v>1.6957369326116202E-5</v>
      </c>
    </row>
    <row r="24" spans="1:9" x14ac:dyDescent="0.3">
      <c r="A24" s="9">
        <v>0.05</v>
      </c>
      <c r="B24" s="10">
        <f t="shared" si="0"/>
        <v>0.38461538461538464</v>
      </c>
      <c r="C24" s="10">
        <f t="shared" si="4"/>
        <v>0.69337524528153638</v>
      </c>
      <c r="D24" s="10">
        <f t="shared" si="5"/>
        <v>1.0279339004231864</v>
      </c>
      <c r="E24" s="10">
        <f t="shared" si="6"/>
        <v>0.16502928591969981</v>
      </c>
      <c r="F24" s="25">
        <f t="shared" si="1"/>
        <v>0.34326091471297565</v>
      </c>
      <c r="G24" s="10">
        <f>C24*SINH(C24*B$7)</f>
        <v>0.16502928591969981</v>
      </c>
      <c r="H24" s="11">
        <v>4.7371257726572897E-3</v>
      </c>
      <c r="I24" s="11">
        <f t="shared" si="3"/>
        <v>2.2440360585973924E-5</v>
      </c>
    </row>
    <row r="26" spans="1:9" x14ac:dyDescent="0.3">
      <c r="A26" s="4" t="s">
        <v>78</v>
      </c>
    </row>
    <row r="27" spans="1:9" ht="15.6" x14ac:dyDescent="0.35">
      <c r="A27" s="12" t="s">
        <v>70</v>
      </c>
      <c r="B27" s="1">
        <f>INDEX(LINEST($I$9:$I$24,$G$9:$G$24^{1,2}),1)</f>
        <v>3.7129243755021167E-4</v>
      </c>
      <c r="C27" s="1"/>
      <c r="D27" s="12" t="s">
        <v>73</v>
      </c>
      <c r="E27" s="1">
        <f>B27</f>
        <v>3.7129243755021167E-4</v>
      </c>
      <c r="G27" s="18" t="s">
        <v>187</v>
      </c>
      <c r="H27" s="17">
        <f>SQRT(E27*E29)/B5^2*PI()</f>
        <v>8.4273388624184484E-7</v>
      </c>
      <c r="I27" t="s">
        <v>95</v>
      </c>
    </row>
    <row r="28" spans="1:9" ht="15.6" x14ac:dyDescent="0.35">
      <c r="A28" s="13" t="s">
        <v>81</v>
      </c>
      <c r="B28" s="1">
        <f>INDEX(LINEST($I$9:$I$24,$G$9:$G$24^{1,2}),1,2)</f>
        <v>5.9844957589776386E-5</v>
      </c>
      <c r="C28" s="1"/>
      <c r="D28" s="12" t="s">
        <v>71</v>
      </c>
      <c r="E28" s="1">
        <f>B28/(-2*E27)</f>
        <v>-8.0590057239831689E-2</v>
      </c>
      <c r="G28" s="18" t="s">
        <v>168</v>
      </c>
      <c r="H28" s="17">
        <f>PI()*0.001*0.0002</f>
        <v>6.2831853071795864E-7</v>
      </c>
      <c r="I28" t="s">
        <v>95</v>
      </c>
    </row>
    <row r="29" spans="1:9" ht="16.2" x14ac:dyDescent="0.3">
      <c r="A29" s="12" t="s">
        <v>79</v>
      </c>
      <c r="B29" s="1">
        <f>INDEX(LINEST($I$9:$I$24,$G$9:$G$24^{1,2}),1,3)</f>
        <v>2.648692173472907E-6</v>
      </c>
      <c r="C29" s="1"/>
      <c r="D29" s="12" t="s">
        <v>72</v>
      </c>
      <c r="E29" s="1">
        <f>B29-E27*E28^2</f>
        <v>2.372378946352176E-7</v>
      </c>
      <c r="G29" s="18" t="s">
        <v>80</v>
      </c>
      <c r="H29" s="19">
        <f>H27/H28</f>
        <v>1.3412526370643261</v>
      </c>
    </row>
    <row r="30" spans="1:9" x14ac:dyDescent="0.3">
      <c r="D30" s="1"/>
    </row>
    <row r="31" spans="1:9" ht="15.6" x14ac:dyDescent="0.35">
      <c r="D31" s="20" t="s">
        <v>84</v>
      </c>
      <c r="E31" s="1">
        <f>E27/B5^2</f>
        <v>1.0612228822097542E-5</v>
      </c>
      <c r="G31" s="14" t="s">
        <v>169</v>
      </c>
      <c r="H31" s="15">
        <f>SQRT(E31*E33-E32^2)*PI()</f>
        <v>8.4273388624184431E-7</v>
      </c>
      <c r="I31" t="s">
        <v>95</v>
      </c>
    </row>
    <row r="32" spans="1:9" ht="15.6" x14ac:dyDescent="0.35">
      <c r="D32" s="20" t="s">
        <v>85</v>
      </c>
      <c r="E32" s="1">
        <f>-(E27/B5^2)*(1/B5+E28)</f>
        <v>-9.3888139707618329E-7</v>
      </c>
    </row>
    <row r="33" spans="3:5" ht="15.6" x14ac:dyDescent="0.35">
      <c r="D33" s="20" t="s">
        <v>86</v>
      </c>
      <c r="E33" s="1">
        <f>(1/B5^2)*(E27*E28^2+E29+2*E27*E28/B5+E27/B5^2)</f>
        <v>8.9845087136422312E-8</v>
      </c>
    </row>
    <row r="34" spans="3:5" x14ac:dyDescent="0.3">
      <c r="D34" s="1"/>
    </row>
    <row r="35" spans="3:5" x14ac:dyDescent="0.3">
      <c r="C35" s="1"/>
      <c r="D35" s="1"/>
    </row>
    <row r="36" spans="3:5" x14ac:dyDescent="0.3">
      <c r="C36" s="1"/>
      <c r="D36" s="1"/>
    </row>
    <row r="37" spans="3:5" x14ac:dyDescent="0.3">
      <c r="C37" s="1"/>
      <c r="D37" s="1"/>
    </row>
    <row r="38" spans="3:5" x14ac:dyDescent="0.3">
      <c r="C38" s="1"/>
      <c r="D38" s="1"/>
    </row>
    <row r="39" spans="3:5" x14ac:dyDescent="0.3">
      <c r="C39" s="1"/>
      <c r="D39" s="1"/>
    </row>
    <row r="40" spans="3:5" x14ac:dyDescent="0.3">
      <c r="C40" s="1"/>
      <c r="D40" s="1"/>
    </row>
  </sheetData>
  <mergeCells count="2">
    <mergeCell ref="A1:XFD1"/>
    <mergeCell ref="A3:XFD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0"/>
  <sheetViews>
    <sheetView topLeftCell="A4" workbookViewId="0">
      <selection activeCell="B27" sqref="B27"/>
    </sheetView>
  </sheetViews>
  <sheetFormatPr defaultColWidth="8.77734375" defaultRowHeight="14.4" x14ac:dyDescent="0.3"/>
  <cols>
    <col min="1" max="1" width="21.44140625" bestFit="1" customWidth="1"/>
    <col min="2" max="2" width="17.88671875" bestFit="1" customWidth="1"/>
    <col min="3" max="3" width="9.5546875" bestFit="1" customWidth="1"/>
    <col min="4" max="4" width="14.109375" bestFit="1" customWidth="1"/>
    <col min="5" max="5" width="13.33203125" bestFit="1" customWidth="1"/>
    <col min="7" max="7" width="8.109375" bestFit="1" customWidth="1"/>
  </cols>
  <sheetData>
    <row r="1" spans="1:5" s="75" customFormat="1" ht="20.399999999999999" thickBot="1" x14ac:dyDescent="0.45">
      <c r="A1" s="75" t="s">
        <v>173</v>
      </c>
    </row>
    <row r="2" spans="1:5" ht="15" thickTop="1" x14ac:dyDescent="0.3">
      <c r="A2" s="4"/>
    </row>
    <row r="3" spans="1:5" s="73" customFormat="1" x14ac:dyDescent="0.3">
      <c r="A3" s="73" t="s">
        <v>174</v>
      </c>
    </row>
    <row r="4" spans="1:5" x14ac:dyDescent="0.3">
      <c r="A4" s="4"/>
    </row>
    <row r="5" spans="1:5" x14ac:dyDescent="0.3">
      <c r="A5" s="12" t="s">
        <v>68</v>
      </c>
      <c r="B5">
        <f>0.5+2.365+0.5+0.26+0.28+0.26+1.75</f>
        <v>5.915</v>
      </c>
      <c r="C5" t="s">
        <v>69</v>
      </c>
    </row>
    <row r="6" spans="1:5" x14ac:dyDescent="0.3">
      <c r="A6" s="12" t="s">
        <v>87</v>
      </c>
      <c r="B6">
        <v>0.8</v>
      </c>
    </row>
    <row r="7" spans="1:5" x14ac:dyDescent="0.3">
      <c r="A7" s="12" t="s">
        <v>92</v>
      </c>
      <c r="B7">
        <v>0.34010000000000001</v>
      </c>
    </row>
    <row r="8" spans="1:5" ht="30" x14ac:dyDescent="0.3">
      <c r="A8" s="8" t="s">
        <v>90</v>
      </c>
      <c r="B8" s="8" t="s">
        <v>89</v>
      </c>
      <c r="C8" s="8" t="s">
        <v>88</v>
      </c>
      <c r="D8" s="8" t="s">
        <v>93</v>
      </c>
      <c r="E8" s="8" t="s">
        <v>94</v>
      </c>
    </row>
    <row r="9" spans="1:5" x14ac:dyDescent="0.3">
      <c r="A9" s="9">
        <v>-0.1</v>
      </c>
      <c r="B9" s="10">
        <f t="shared" ref="B9:B24" si="0">A9/0.13</f>
        <v>-0.76923076923076927</v>
      </c>
      <c r="C9" s="22">
        <f>SQRT(ABS(B9)/B$6)</f>
        <v>0.98058067569092022</v>
      </c>
      <c r="D9" s="11">
        <v>4.9200331508640199E-3</v>
      </c>
      <c r="E9" s="23">
        <f t="shared" ref="E9:E24" si="1">D9^2</f>
        <v>2.4206726205600935E-5</v>
      </c>
    </row>
    <row r="10" spans="1:5" x14ac:dyDescent="0.3">
      <c r="A10" s="9">
        <v>-0.09</v>
      </c>
      <c r="B10" s="10">
        <f t="shared" si="0"/>
        <v>-0.69230769230769229</v>
      </c>
      <c r="C10" s="22">
        <f t="shared" ref="C10:C24" si="2">SQRT(ABS(B10)/B$6)</f>
        <v>0.93026050941906335</v>
      </c>
      <c r="D10" s="11">
        <v>4.2512927528120803E-3</v>
      </c>
      <c r="E10" s="23">
        <f t="shared" si="1"/>
        <v>1.8073490070112517E-5</v>
      </c>
    </row>
    <row r="11" spans="1:5" x14ac:dyDescent="0.3">
      <c r="A11" s="9">
        <v>-0.08</v>
      </c>
      <c r="B11" s="10">
        <f t="shared" si="0"/>
        <v>-0.61538461538461542</v>
      </c>
      <c r="C11" s="22">
        <f t="shared" si="2"/>
        <v>0.8770580193070292</v>
      </c>
      <c r="D11" s="11">
        <v>3.5861601857807299E-3</v>
      </c>
      <c r="E11" s="23">
        <f t="shared" si="1"/>
        <v>1.2860544878078879E-5</v>
      </c>
    </row>
    <row r="12" spans="1:5" x14ac:dyDescent="0.3">
      <c r="A12" s="9">
        <v>-7.0000000000000007E-2</v>
      </c>
      <c r="B12" s="10">
        <f t="shared" si="0"/>
        <v>-0.53846153846153855</v>
      </c>
      <c r="C12" s="22">
        <f t="shared" si="2"/>
        <v>0.82041265414236697</v>
      </c>
      <c r="D12" s="11">
        <v>2.9246200470683598E-3</v>
      </c>
      <c r="E12" s="23">
        <f t="shared" si="1"/>
        <v>8.5534024197141349E-6</v>
      </c>
    </row>
    <row r="13" spans="1:5" x14ac:dyDescent="0.3">
      <c r="A13" s="9">
        <v>-0.06</v>
      </c>
      <c r="B13" s="10">
        <f t="shared" si="0"/>
        <v>-0.46153846153846151</v>
      </c>
      <c r="C13" s="22">
        <f t="shared" si="2"/>
        <v>0.75955452531274992</v>
      </c>
      <c r="D13" s="11">
        <v>2.2666692807722598E-3</v>
      </c>
      <c r="E13" s="23">
        <f t="shared" si="1"/>
        <v>5.1377896283966336E-6</v>
      </c>
    </row>
    <row r="14" spans="1:5" x14ac:dyDescent="0.3">
      <c r="A14" s="9">
        <v>-0.05</v>
      </c>
      <c r="B14" s="10">
        <f t="shared" si="0"/>
        <v>-0.38461538461538464</v>
      </c>
      <c r="C14" s="22">
        <f t="shared" si="2"/>
        <v>0.69337524528153638</v>
      </c>
      <c r="D14" s="11">
        <v>1.6122928463584501E-3</v>
      </c>
      <c r="E14" s="23">
        <f t="shared" si="1"/>
        <v>2.5994882224186326E-6</v>
      </c>
    </row>
    <row r="15" spans="1:5" x14ac:dyDescent="0.3">
      <c r="A15" s="9">
        <v>-3.9999999999999897E-2</v>
      </c>
      <c r="B15" s="10">
        <f t="shared" si="0"/>
        <v>-0.30769230769230688</v>
      </c>
      <c r="C15" s="22">
        <f t="shared" si="2"/>
        <v>0.62017367294604142</v>
      </c>
      <c r="D15" s="11">
        <v>9.6148136557953402E-4</v>
      </c>
      <c r="E15" s="23">
        <f t="shared" si="1"/>
        <v>9.2444641635668559E-7</v>
      </c>
    </row>
    <row r="16" spans="1:5" x14ac:dyDescent="0.3">
      <c r="A16" s="9">
        <v>-2.9999999999999898E-2</v>
      </c>
      <c r="B16" s="10">
        <f t="shared" si="0"/>
        <v>-0.23076923076922998</v>
      </c>
      <c r="C16" s="22">
        <f t="shared" si="2"/>
        <v>0.53708615552957373</v>
      </c>
      <c r="D16" s="21">
        <v>6.2389924446269599E-4</v>
      </c>
      <c r="E16" s="23">
        <f t="shared" si="1"/>
        <v>3.8925026724112289E-7</v>
      </c>
    </row>
    <row r="17" spans="1:5" x14ac:dyDescent="0.3">
      <c r="A17" s="9">
        <v>-1.99999999999999E-2</v>
      </c>
      <c r="B17" s="10">
        <f t="shared" si="0"/>
        <v>-0.15384615384615308</v>
      </c>
      <c r="C17" s="22">
        <f t="shared" si="2"/>
        <v>0.43852900965351349</v>
      </c>
      <c r="D17" s="11">
        <v>9.0928207358094903E-4</v>
      </c>
      <c r="E17" s="23">
        <f t="shared" si="1"/>
        <v>8.267938893356704E-7</v>
      </c>
    </row>
    <row r="18" spans="1:5" x14ac:dyDescent="0.3">
      <c r="A18" s="9">
        <v>-9.99999999999991E-3</v>
      </c>
      <c r="B18" s="10">
        <f t="shared" si="0"/>
        <v>-7.6923076923076233E-2</v>
      </c>
      <c r="C18" s="22">
        <f t="shared" si="2"/>
        <v>0.31008683647301977</v>
      </c>
      <c r="D18" s="11">
        <v>1.19307162081399E-3</v>
      </c>
      <c r="E18" s="23">
        <f t="shared" si="1"/>
        <v>1.4234198923917211E-6</v>
      </c>
    </row>
    <row r="19" spans="1:5" x14ac:dyDescent="0.3">
      <c r="A19" s="9">
        <v>1E-3</v>
      </c>
      <c r="B19" s="10">
        <f t="shared" si="0"/>
        <v>7.6923076923076919E-3</v>
      </c>
      <c r="C19" s="22">
        <f t="shared" si="2"/>
        <v>9.8058067569092008E-2</v>
      </c>
      <c r="D19" s="11">
        <v>1.6698024153945399E-3</v>
      </c>
      <c r="E19" s="23">
        <f t="shared" si="1"/>
        <v>2.7882401064574396E-6</v>
      </c>
    </row>
    <row r="20" spans="1:5" x14ac:dyDescent="0.3">
      <c r="A20" s="9">
        <v>0.01</v>
      </c>
      <c r="B20" s="10">
        <f t="shared" si="0"/>
        <v>7.6923076923076927E-2</v>
      </c>
      <c r="C20" s="22">
        <f t="shared" si="2"/>
        <v>0.31008683647302115</v>
      </c>
      <c r="D20" s="11">
        <v>2.2394696094846199E-3</v>
      </c>
      <c r="E20" s="23">
        <f t="shared" si="1"/>
        <v>5.0152241318051957E-6</v>
      </c>
    </row>
    <row r="21" spans="1:5" x14ac:dyDescent="0.3">
      <c r="A21" s="9">
        <v>0.02</v>
      </c>
      <c r="B21" s="10">
        <f t="shared" si="0"/>
        <v>0.15384615384615385</v>
      </c>
      <c r="C21" s="22">
        <f t="shared" si="2"/>
        <v>0.4385290096535146</v>
      </c>
      <c r="D21" s="11">
        <v>2.8691051558586999E-3</v>
      </c>
      <c r="E21" s="23">
        <f t="shared" si="1"/>
        <v>8.2317643953749741E-6</v>
      </c>
    </row>
    <row r="22" spans="1:5" x14ac:dyDescent="0.3">
      <c r="A22" s="9">
        <v>0.03</v>
      </c>
      <c r="B22" s="10">
        <f t="shared" si="0"/>
        <v>0.23076923076923075</v>
      </c>
      <c r="C22" s="22">
        <f t="shared" si="2"/>
        <v>0.53708615552957462</v>
      </c>
      <c r="D22" s="11">
        <v>3.4952662027439799E-3</v>
      </c>
      <c r="E22" s="23">
        <f t="shared" si="1"/>
        <v>1.2216885828044321E-5</v>
      </c>
    </row>
    <row r="23" spans="1:5" x14ac:dyDescent="0.3">
      <c r="A23" s="9">
        <v>0.04</v>
      </c>
      <c r="B23" s="10">
        <f t="shared" si="0"/>
        <v>0.30769230769230771</v>
      </c>
      <c r="C23" s="22">
        <f t="shared" si="2"/>
        <v>0.62017367294604231</v>
      </c>
      <c r="D23" s="11">
        <v>4.1179326519645999E-3</v>
      </c>
      <c r="E23" s="23">
        <f t="shared" si="1"/>
        <v>1.6957369326116202E-5</v>
      </c>
    </row>
    <row r="24" spans="1:5" x14ac:dyDescent="0.3">
      <c r="A24" s="9">
        <v>0.05</v>
      </c>
      <c r="B24" s="10">
        <f t="shared" si="0"/>
        <v>0.38461538461538464</v>
      </c>
      <c r="C24" s="22">
        <f t="shared" si="2"/>
        <v>0.69337524528153638</v>
      </c>
      <c r="D24" s="11">
        <v>4.7371257726572897E-3</v>
      </c>
      <c r="E24" s="23">
        <f t="shared" si="1"/>
        <v>2.2440360585973924E-5</v>
      </c>
    </row>
    <row r="26" spans="1:5" ht="15.6" x14ac:dyDescent="0.35">
      <c r="A26" s="18" t="s">
        <v>187</v>
      </c>
      <c r="B26" s="17">
        <f>0.000000309468*PI()</f>
        <v>9.7222239532112608E-7</v>
      </c>
    </row>
    <row r="27" spans="1:5" ht="15.6" x14ac:dyDescent="0.35">
      <c r="A27" s="18" t="s">
        <v>168</v>
      </c>
      <c r="B27" s="17">
        <f>PI()*0.001*0.0002</f>
        <v>6.2831853071795864E-7</v>
      </c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  <row r="39" spans="3:3" x14ac:dyDescent="0.3">
      <c r="C39" s="1"/>
    </row>
    <row r="40" spans="3:3" x14ac:dyDescent="0.3">
      <c r="C40" s="1"/>
    </row>
  </sheetData>
  <mergeCells count="2">
    <mergeCell ref="A1:XFD1"/>
    <mergeCell ref="A3:XFD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1B681-9BF7-46D5-9DD8-1C3466F39BE2}">
  <dimension ref="A1:M16"/>
  <sheetViews>
    <sheetView zoomScaleNormal="100" workbookViewId="0">
      <selection activeCell="A2" sqref="A2"/>
    </sheetView>
  </sheetViews>
  <sheetFormatPr defaultRowHeight="14.4" x14ac:dyDescent="0.3"/>
  <cols>
    <col min="1" max="1" width="14.33203125" bestFit="1" customWidth="1"/>
    <col min="2" max="2" width="11" bestFit="1" customWidth="1"/>
    <col min="3" max="3" width="13.88671875" bestFit="1" customWidth="1"/>
    <col min="4" max="4" width="12.44140625" bestFit="1" customWidth="1"/>
    <col min="5" max="5" width="10" bestFit="1" customWidth="1"/>
    <col min="6" max="6" width="7.6640625" bestFit="1" customWidth="1"/>
    <col min="7" max="7" width="9.33203125" customWidth="1"/>
    <col min="8" max="12" width="8.88671875" customWidth="1"/>
  </cols>
  <sheetData>
    <row r="1" spans="1:13" s="75" customFormat="1" ht="20.399999999999999" thickBot="1" x14ac:dyDescent="0.45">
      <c r="A1" s="75" t="s">
        <v>153</v>
      </c>
    </row>
    <row r="2" spans="1:13" ht="15" thickTop="1" x14ac:dyDescent="0.3"/>
    <row r="3" spans="1:13" s="73" customFormat="1" x14ac:dyDescent="0.3">
      <c r="A3" s="73" t="s">
        <v>154</v>
      </c>
    </row>
    <row r="4" spans="1:13" s="77" customFormat="1" x14ac:dyDescent="0.3">
      <c r="A4" s="77" t="s">
        <v>141</v>
      </c>
    </row>
    <row r="6" spans="1:13" ht="28.8" x14ac:dyDescent="0.3">
      <c r="A6" s="62" t="s">
        <v>106</v>
      </c>
      <c r="B6" s="62" t="s">
        <v>107</v>
      </c>
      <c r="C6" s="63" t="s">
        <v>103</v>
      </c>
      <c r="D6" s="63" t="s">
        <v>104</v>
      </c>
      <c r="E6" s="63" t="s">
        <v>110</v>
      </c>
      <c r="F6" s="62" t="s">
        <v>102</v>
      </c>
      <c r="G6" s="64" t="s">
        <v>111</v>
      </c>
    </row>
    <row r="7" spans="1:13" x14ac:dyDescent="0.3">
      <c r="A7" s="28">
        <f>0.3-0.0021</f>
        <v>0.2979</v>
      </c>
      <c r="B7">
        <f>0.21788+0.001472</f>
        <v>0.21935199999999999</v>
      </c>
      <c r="C7" s="27">
        <v>742.12786892583301</v>
      </c>
      <c r="D7" s="27">
        <v>445.364341968058</v>
      </c>
      <c r="F7" s="2">
        <v>1.6393369081897501E-2</v>
      </c>
    </row>
    <row r="8" spans="1:13" x14ac:dyDescent="0.3">
      <c r="A8" s="46">
        <f>A7-0.03*A7</f>
        <v>0.28896300000000003</v>
      </c>
      <c r="B8" s="33">
        <f>0.21788+0.001472</f>
        <v>0.21935199999999999</v>
      </c>
      <c r="C8" s="34">
        <v>883.05536036446904</v>
      </c>
      <c r="D8" s="34">
        <v>103.28259082650401</v>
      </c>
      <c r="E8" s="65">
        <v>6.8685404223858496E-3</v>
      </c>
      <c r="F8" s="66">
        <v>-0.21495544291252999</v>
      </c>
      <c r="G8" s="33" t="s">
        <v>105</v>
      </c>
    </row>
    <row r="9" spans="1:13" x14ac:dyDescent="0.3">
      <c r="A9" s="67">
        <f>A8</f>
        <v>0.28896300000000003</v>
      </c>
      <c r="B9" s="67">
        <v>0.226218210610757</v>
      </c>
      <c r="C9" s="41">
        <v>735.75438241316203</v>
      </c>
      <c r="D9" s="41">
        <v>455.29467092898602</v>
      </c>
      <c r="E9" s="68">
        <v>1.55799393731478E-3</v>
      </c>
      <c r="F9" s="43">
        <v>2.8232208747986001E-2</v>
      </c>
      <c r="G9" s="35" t="s">
        <v>155</v>
      </c>
    </row>
    <row r="10" spans="1:13" x14ac:dyDescent="0.3">
      <c r="A10" s="30" t="s">
        <v>156</v>
      </c>
      <c r="B10" s="30"/>
      <c r="C10" s="69"/>
      <c r="D10" s="31">
        <f>(B9-B8)/B8</f>
        <v>3.1302247578125629E-2</v>
      </c>
      <c r="E10" s="29"/>
    </row>
    <row r="12" spans="1:13" x14ac:dyDescent="0.3">
      <c r="A12" s="4" t="s">
        <v>149</v>
      </c>
    </row>
    <row r="13" spans="1:13" x14ac:dyDescent="0.3">
      <c r="A13" t="s">
        <v>157</v>
      </c>
    </row>
    <row r="14" spans="1:13" x14ac:dyDescent="0.3">
      <c r="A14" t="s">
        <v>158</v>
      </c>
    </row>
    <row r="16" spans="1:13" x14ac:dyDescent="0.3">
      <c r="A16" s="70" t="s">
        <v>108</v>
      </c>
      <c r="B16" s="70"/>
      <c r="C16" s="70"/>
      <c r="D16" s="70"/>
      <c r="E16" s="70"/>
      <c r="F16" s="70"/>
      <c r="H16" s="70" t="s">
        <v>109</v>
      </c>
      <c r="I16" s="70"/>
      <c r="J16" s="70"/>
      <c r="K16" s="70"/>
      <c r="L16" s="70"/>
      <c r="M16" s="70"/>
    </row>
  </sheetData>
  <mergeCells count="3">
    <mergeCell ref="A1:XFD1"/>
    <mergeCell ref="A3:XFD3"/>
    <mergeCell ref="A4:XFD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B007F-0487-4254-94F5-D44240EFFA30}">
  <dimension ref="A1:K54"/>
  <sheetViews>
    <sheetView tabSelected="1" topLeftCell="A16" workbookViewId="0">
      <selection activeCell="A2" sqref="A2"/>
    </sheetView>
  </sheetViews>
  <sheetFormatPr defaultRowHeight="14.4" x14ac:dyDescent="0.3"/>
  <cols>
    <col min="1" max="4" width="9.5546875" bestFit="1" customWidth="1"/>
    <col min="5" max="5" width="10" bestFit="1" customWidth="1"/>
    <col min="6" max="6" width="9.5546875" bestFit="1" customWidth="1"/>
    <col min="7" max="7" width="9" bestFit="1" customWidth="1"/>
    <col min="8" max="9" width="8.5546875" bestFit="1" customWidth="1"/>
    <col min="10" max="11" width="9.21875" bestFit="1" customWidth="1"/>
  </cols>
  <sheetData>
    <row r="1" spans="1:11" s="75" customFormat="1" ht="20.399999999999999" thickBot="1" x14ac:dyDescent="0.45">
      <c r="A1" s="75" t="s">
        <v>139</v>
      </c>
    </row>
    <row r="2" spans="1:11" ht="15" thickTop="1" x14ac:dyDescent="0.3"/>
    <row r="3" spans="1:11" s="73" customFormat="1" x14ac:dyDescent="0.3">
      <c r="A3" s="73" t="s">
        <v>140</v>
      </c>
    </row>
    <row r="4" spans="1:11" s="77" customFormat="1" x14ac:dyDescent="0.3">
      <c r="A4" s="77" t="s">
        <v>141</v>
      </c>
    </row>
    <row r="6" spans="1:11" s="80" customFormat="1" ht="15" thickBot="1" x14ac:dyDescent="0.35">
      <c r="A6" s="80" t="s">
        <v>142</v>
      </c>
    </row>
    <row r="7" spans="1:11" s="16" customFormat="1" x14ac:dyDescent="0.3">
      <c r="A7" s="53" t="s">
        <v>112</v>
      </c>
      <c r="B7" s="53" t="s">
        <v>113</v>
      </c>
      <c r="C7" s="53" t="s">
        <v>114</v>
      </c>
      <c r="D7" s="53" t="s">
        <v>115</v>
      </c>
      <c r="E7" s="53" t="s">
        <v>116</v>
      </c>
      <c r="F7" s="53" t="s">
        <v>117</v>
      </c>
      <c r="G7" s="53" t="s">
        <v>122</v>
      </c>
      <c r="H7" s="53" t="s">
        <v>118</v>
      </c>
      <c r="I7" s="53" t="s">
        <v>120</v>
      </c>
      <c r="J7" s="53" t="s">
        <v>121</v>
      </c>
      <c r="K7" s="53" t="s">
        <v>119</v>
      </c>
    </row>
    <row r="8" spans="1:11" x14ac:dyDescent="0.3">
      <c r="A8" s="55">
        <v>7.4999999999999997E-3</v>
      </c>
      <c r="B8" s="55">
        <v>2.5000000000000001E-2</v>
      </c>
      <c r="C8" s="55">
        <v>7.5000000000000002E-4</v>
      </c>
      <c r="D8" s="55">
        <v>2.5000000000000001E-2</v>
      </c>
      <c r="E8" s="55">
        <v>3.1E-2</v>
      </c>
      <c r="F8" s="39">
        <v>445.364341968058</v>
      </c>
      <c r="G8" s="39">
        <v>742.12786892583301</v>
      </c>
      <c r="H8" s="45">
        <v>1.27442540371284</v>
      </c>
      <c r="I8" s="45">
        <v>1.6393369000000001E-2</v>
      </c>
      <c r="J8" s="45">
        <v>-1.6235108589999998E-2</v>
      </c>
      <c r="K8" s="45">
        <v>-1.4186799134400001</v>
      </c>
    </row>
    <row r="9" spans="1:11" x14ac:dyDescent="0.3">
      <c r="A9" s="56">
        <f>A8*1.05</f>
        <v>7.8750000000000001E-3</v>
      </c>
      <c r="B9" s="57">
        <v>2.5000000000000001E-2</v>
      </c>
      <c r="C9" s="57">
        <v>7.5000000000000002E-4</v>
      </c>
      <c r="D9" s="57">
        <v>2.5000000000000001E-2</v>
      </c>
      <c r="E9" s="57">
        <v>3.1E-2</v>
      </c>
      <c r="F9" s="34">
        <v>435.93270650890003</v>
      </c>
      <c r="G9" s="34">
        <v>706.78844659603101</v>
      </c>
      <c r="H9" s="47">
        <v>1.27442540371284</v>
      </c>
      <c r="I9" s="47">
        <v>1.6393369081897501E-2</v>
      </c>
      <c r="J9" s="47">
        <v>-1.6235108595123299E-2</v>
      </c>
      <c r="K9" s="47">
        <v>-1.4186799134435299</v>
      </c>
    </row>
    <row r="10" spans="1:11" x14ac:dyDescent="0.3">
      <c r="A10" s="57">
        <v>7.4999999999999997E-3</v>
      </c>
      <c r="B10" s="57">
        <v>2.5000000000000001E-2</v>
      </c>
      <c r="C10" s="56">
        <f>C8*1.05</f>
        <v>7.8750000000000001E-4</v>
      </c>
      <c r="D10" s="57">
        <v>2.5000000000000001E-2</v>
      </c>
      <c r="E10" s="57">
        <v>3.1E-2</v>
      </c>
      <c r="F10" s="34">
        <v>443.67516557130699</v>
      </c>
      <c r="G10" s="34">
        <v>742.12786892583301</v>
      </c>
      <c r="H10" s="47">
        <v>1.27442540371284</v>
      </c>
      <c r="I10" s="47">
        <v>1.6393369081897501E-2</v>
      </c>
      <c r="J10" s="47">
        <v>-1.6235108595123299E-2</v>
      </c>
      <c r="K10" s="47">
        <v>-1.4186799134435299</v>
      </c>
    </row>
    <row r="11" spans="1:11" x14ac:dyDescent="0.3">
      <c r="A11" s="56">
        <f>A8*1.05</f>
        <v>7.8750000000000001E-3</v>
      </c>
      <c r="B11" s="57">
        <v>2.5000000000000001E-2</v>
      </c>
      <c r="C11" s="56">
        <f>C8*1.05</f>
        <v>7.8750000000000001E-4</v>
      </c>
      <c r="D11" s="57">
        <v>2.5000000000000001E-2</v>
      </c>
      <c r="E11" s="57">
        <v>3.1E-2</v>
      </c>
      <c r="F11" s="34">
        <v>434.31252552637699</v>
      </c>
      <c r="G11" s="34">
        <v>706.78844659603101</v>
      </c>
      <c r="H11" s="47">
        <v>1.27442540371284</v>
      </c>
      <c r="I11" s="47">
        <v>1.6393369081897501E-2</v>
      </c>
      <c r="J11" s="47">
        <v>-1.6235108595123299E-2</v>
      </c>
      <c r="K11" s="47">
        <v>-1.4186799134435299</v>
      </c>
    </row>
    <row r="12" spans="1:11" x14ac:dyDescent="0.3">
      <c r="A12" s="57">
        <v>7.4999999999999997E-3</v>
      </c>
      <c r="B12" s="56">
        <f>B8*1.05</f>
        <v>2.6250000000000002E-2</v>
      </c>
      <c r="C12" s="57">
        <v>7.5000000000000002E-4</v>
      </c>
      <c r="D12" s="57">
        <v>2.5000000000000001E-2</v>
      </c>
      <c r="E12" s="57">
        <v>3.1E-2</v>
      </c>
      <c r="F12" s="34">
        <v>405.73601893889099</v>
      </c>
      <c r="G12" s="34">
        <v>742.12786892583301</v>
      </c>
      <c r="H12" s="47">
        <v>1.27442540371284</v>
      </c>
      <c r="I12" s="47">
        <v>1.6393369081897501E-2</v>
      </c>
      <c r="J12" s="47">
        <v>-1.6235108595123299E-2</v>
      </c>
      <c r="K12" s="47">
        <v>-1.4186799134435299</v>
      </c>
    </row>
    <row r="13" spans="1:11" x14ac:dyDescent="0.3">
      <c r="A13" s="57">
        <v>7.4999999999999997E-3</v>
      </c>
      <c r="B13" s="57">
        <v>2.5000000000000001E-2</v>
      </c>
      <c r="C13" s="57">
        <v>7.5000000000000002E-4</v>
      </c>
      <c r="D13" s="56">
        <f>D8*1.05</f>
        <v>2.6250000000000002E-2</v>
      </c>
      <c r="E13" s="57">
        <v>3.1E-2</v>
      </c>
      <c r="F13" s="34">
        <v>445.364341968058</v>
      </c>
      <c r="G13" s="34">
        <v>742.12786892583301</v>
      </c>
      <c r="H13" s="47">
        <v>1.27442540371284</v>
      </c>
      <c r="I13" s="47">
        <v>1.6393369081897501E-2</v>
      </c>
      <c r="J13" s="47">
        <v>-1.6235108595123299E-2</v>
      </c>
      <c r="K13" s="47">
        <v>-1.4186799134435299</v>
      </c>
    </row>
    <row r="14" spans="1:11" x14ac:dyDescent="0.3">
      <c r="A14" s="57">
        <v>7.4999999999999997E-3</v>
      </c>
      <c r="B14" s="56">
        <f>B8*1.05</f>
        <v>2.6250000000000002E-2</v>
      </c>
      <c r="C14" s="57">
        <v>7.5000000000000002E-4</v>
      </c>
      <c r="D14" s="56">
        <f>D8*1.05</f>
        <v>2.6250000000000002E-2</v>
      </c>
      <c r="E14" s="57">
        <v>3.1E-2</v>
      </c>
      <c r="F14" s="34">
        <v>405.73601893889099</v>
      </c>
      <c r="G14" s="34">
        <v>742.12786892583301</v>
      </c>
      <c r="H14" s="47">
        <v>1.27442540371284</v>
      </c>
      <c r="I14" s="47">
        <v>1.6393369081897501E-2</v>
      </c>
      <c r="J14" s="47">
        <v>-1.6235108595123299E-2</v>
      </c>
      <c r="K14" s="47">
        <v>-1.4186799134435299</v>
      </c>
    </row>
    <row r="15" spans="1:11" x14ac:dyDescent="0.3">
      <c r="A15" s="58">
        <v>7.4999999999999997E-3</v>
      </c>
      <c r="B15" s="58">
        <v>2.5000000000000001E-2</v>
      </c>
      <c r="C15" s="58">
        <v>7.5000000000000002E-4</v>
      </c>
      <c r="D15" s="58">
        <v>2.5000000000000001E-2</v>
      </c>
      <c r="E15" s="59">
        <f>E8*1.05</f>
        <v>3.2550000000000003E-2</v>
      </c>
      <c r="F15" s="41">
        <v>443.25513312639799</v>
      </c>
      <c r="G15" s="41">
        <v>742.12786892583301</v>
      </c>
      <c r="H15" s="60">
        <v>1.27442540371284</v>
      </c>
      <c r="I15" s="60">
        <v>1.6393369081897501E-2</v>
      </c>
      <c r="J15" s="60">
        <v>-1.6235108595123299E-2</v>
      </c>
      <c r="K15" s="60">
        <v>-1.4186799134435299</v>
      </c>
    </row>
    <row r="16" spans="1:11" x14ac:dyDescent="0.3">
      <c r="A16" s="4" t="s">
        <v>143</v>
      </c>
      <c r="F16" s="27"/>
      <c r="G16" s="27"/>
      <c r="H16" s="28"/>
      <c r="I16" s="28"/>
      <c r="J16" s="28"/>
      <c r="K16" s="28"/>
    </row>
    <row r="17" spans="1:11" x14ac:dyDescent="0.3">
      <c r="A17" t="s">
        <v>144</v>
      </c>
      <c r="F17" s="27"/>
      <c r="G17" s="27"/>
      <c r="H17" s="28"/>
      <c r="I17" s="28"/>
      <c r="J17" s="28"/>
      <c r="K17" s="28"/>
    </row>
    <row r="18" spans="1:11" x14ac:dyDescent="0.3">
      <c r="A18" t="s">
        <v>145</v>
      </c>
      <c r="F18" s="27"/>
      <c r="G18" s="27"/>
      <c r="H18" s="28"/>
      <c r="I18" s="28"/>
      <c r="J18" s="28"/>
      <c r="K18" s="28"/>
    </row>
    <row r="19" spans="1:11" x14ac:dyDescent="0.3">
      <c r="F19" s="27"/>
      <c r="G19" s="27"/>
      <c r="H19" s="28"/>
      <c r="I19" s="28"/>
      <c r="J19" s="28"/>
      <c r="K19" s="28"/>
    </row>
    <row r="20" spans="1:11" s="80" customFormat="1" ht="15" thickBot="1" x14ac:dyDescent="0.35">
      <c r="A20" s="80" t="s">
        <v>146</v>
      </c>
    </row>
    <row r="21" spans="1:11" x14ac:dyDescent="0.3">
      <c r="A21" s="24" t="s">
        <v>138</v>
      </c>
      <c r="F21" s="27"/>
      <c r="G21" s="27"/>
      <c r="H21" s="28"/>
      <c r="I21" s="28"/>
      <c r="J21" s="28"/>
      <c r="K21" s="28"/>
    </row>
    <row r="22" spans="1:11" x14ac:dyDescent="0.3">
      <c r="A22" s="27">
        <f>0.95*F26</f>
        <v>423.09612486965506</v>
      </c>
      <c r="F22" s="27"/>
      <c r="G22" s="27"/>
      <c r="H22" s="28"/>
      <c r="I22" s="28"/>
      <c r="J22" s="28"/>
      <c r="K22" s="28"/>
    </row>
    <row r="23" spans="1:11" x14ac:dyDescent="0.3">
      <c r="F23" s="27"/>
      <c r="G23" s="27"/>
      <c r="H23" s="28"/>
      <c r="I23" s="28"/>
      <c r="J23" s="28"/>
      <c r="K23" s="28"/>
    </row>
    <row r="24" spans="1:11" x14ac:dyDescent="0.3">
      <c r="A24" s="78" t="s">
        <v>147</v>
      </c>
      <c r="B24" s="78"/>
      <c r="C24" s="78"/>
      <c r="D24" s="78"/>
      <c r="E24" s="78"/>
      <c r="F24" s="78"/>
      <c r="G24" s="78"/>
      <c r="H24" s="28"/>
      <c r="I24" s="28"/>
      <c r="J24" s="28"/>
      <c r="K24" s="28"/>
    </row>
    <row r="25" spans="1:11" x14ac:dyDescent="0.3">
      <c r="A25" s="61" t="s">
        <v>112</v>
      </c>
      <c r="B25" s="61" t="s">
        <v>113</v>
      </c>
      <c r="C25" s="61" t="s">
        <v>114</v>
      </c>
      <c r="D25" s="61" t="s">
        <v>115</v>
      </c>
      <c r="E25" s="61" t="s">
        <v>116</v>
      </c>
      <c r="F25" s="61" t="s">
        <v>117</v>
      </c>
      <c r="G25" s="61"/>
      <c r="I25" s="16"/>
      <c r="J25" s="16"/>
      <c r="K25" s="16"/>
    </row>
    <row r="26" spans="1:11" x14ac:dyDescent="0.3">
      <c r="A26" s="50">
        <v>7.4999999999999997E-3</v>
      </c>
      <c r="B26" s="50">
        <v>2.5000000000000001E-2</v>
      </c>
      <c r="C26" s="50">
        <v>7.5000000000000002E-4</v>
      </c>
      <c r="D26" s="50">
        <v>2.5000000000000001E-2</v>
      </c>
      <c r="E26" s="50">
        <v>3.1E-2</v>
      </c>
      <c r="F26" s="51">
        <v>445.364341968058</v>
      </c>
      <c r="G26" s="51"/>
      <c r="I26" s="28"/>
      <c r="J26" s="28"/>
      <c r="K26" s="28"/>
    </row>
    <row r="27" spans="1:11" x14ac:dyDescent="0.3">
      <c r="A27" s="46">
        <f>A26*1.05</f>
        <v>7.8750000000000001E-3</v>
      </c>
      <c r="B27" s="47">
        <v>2.5000000000000001E-2</v>
      </c>
      <c r="C27" s="47">
        <v>7.5000000000000002E-4</v>
      </c>
      <c r="D27" s="47">
        <v>2.5000000000000001E-2</v>
      </c>
      <c r="E27" s="47">
        <v>3.1E-2</v>
      </c>
      <c r="F27" s="34">
        <v>435.93270650890003</v>
      </c>
      <c r="G27" s="33"/>
      <c r="H27" s="28"/>
      <c r="I27" s="28"/>
      <c r="J27" s="28"/>
      <c r="K27" s="28"/>
    </row>
    <row r="28" spans="1:11" x14ac:dyDescent="0.3">
      <c r="A28" s="46">
        <f>A26*1.1</f>
        <v>8.2500000000000004E-3</v>
      </c>
      <c r="B28" s="47">
        <v>2.5000000000000001E-2</v>
      </c>
      <c r="C28" s="47">
        <v>7.5000000000000002E-4</v>
      </c>
      <c r="D28" s="47">
        <v>2.5000000000000001E-2</v>
      </c>
      <c r="E28" s="47">
        <v>3.1E-2</v>
      </c>
      <c r="F28" s="34">
        <v>426.89101027409799</v>
      </c>
      <c r="G28" s="34"/>
      <c r="H28" s="28"/>
      <c r="I28" s="28"/>
      <c r="J28" s="28"/>
      <c r="K28" s="28"/>
    </row>
    <row r="29" spans="1:11" x14ac:dyDescent="0.3">
      <c r="A29" s="46">
        <f>A26*1.12</f>
        <v>8.4000000000000012E-3</v>
      </c>
      <c r="B29" s="47">
        <v>2.5000000000000001E-2</v>
      </c>
      <c r="C29" s="47">
        <v>7.5000000000000002E-4</v>
      </c>
      <c r="D29" s="47">
        <v>2.5000000000000001E-2</v>
      </c>
      <c r="E29" s="47">
        <v>3.1E-2</v>
      </c>
      <c r="F29" s="34">
        <v>423.378144193168</v>
      </c>
      <c r="G29" s="34"/>
      <c r="H29" s="28"/>
      <c r="I29" s="28"/>
      <c r="J29" s="28"/>
      <c r="K29" s="28"/>
    </row>
    <row r="30" spans="1:11" x14ac:dyDescent="0.3">
      <c r="A30" s="46">
        <v>8.4100000000000008E-3</v>
      </c>
      <c r="B30" s="47">
        <v>2.5000000000000001E-2</v>
      </c>
      <c r="C30" s="47">
        <v>7.5000000000000002E-4</v>
      </c>
      <c r="D30" s="47">
        <v>2.5000000000000001E-2</v>
      </c>
      <c r="E30" s="47">
        <v>3.1E-2</v>
      </c>
      <c r="F30" s="34">
        <v>423.14600068632302</v>
      </c>
      <c r="G30" s="34"/>
      <c r="H30" s="28"/>
      <c r="I30" s="28"/>
      <c r="J30" s="28"/>
      <c r="K30" s="28"/>
    </row>
    <row r="31" spans="1:11" x14ac:dyDescent="0.3">
      <c r="A31" s="35" t="s">
        <v>123</v>
      </c>
      <c r="B31" s="35"/>
      <c r="C31" s="35"/>
      <c r="D31" s="35"/>
      <c r="E31" s="35"/>
      <c r="F31" s="35"/>
      <c r="G31" s="48">
        <f>(A30-A26)/A26</f>
        <v>0.12133333333333349</v>
      </c>
      <c r="H31" s="28"/>
      <c r="I31" s="28"/>
      <c r="J31" s="28"/>
      <c r="K31" s="28"/>
    </row>
    <row r="32" spans="1:11" x14ac:dyDescent="0.3">
      <c r="A32" s="45">
        <v>7.4999999999999997E-3</v>
      </c>
      <c r="B32" s="40">
        <v>2.5749999999999999E-2</v>
      </c>
      <c r="C32" s="45">
        <v>7.5000000000000002E-4</v>
      </c>
      <c r="D32" s="45">
        <v>2.5000000000000001E-2</v>
      </c>
      <c r="E32" s="45">
        <v>3.1E-2</v>
      </c>
      <c r="F32" s="39">
        <v>421.488750759016</v>
      </c>
      <c r="G32" s="39"/>
      <c r="H32" s="28"/>
      <c r="I32" s="28"/>
      <c r="J32" s="28"/>
      <c r="K32" s="28"/>
    </row>
    <row r="33" spans="1:11" x14ac:dyDescent="0.3">
      <c r="A33" s="47">
        <v>7.4999999999999997E-3</v>
      </c>
      <c r="B33" s="46">
        <v>2.5600000000000001E-2</v>
      </c>
      <c r="C33" s="47">
        <v>7.5000000000000002E-4</v>
      </c>
      <c r="D33" s="47">
        <v>2.5000000000000001E-2</v>
      </c>
      <c r="E33" s="47">
        <v>3.1E-2</v>
      </c>
      <c r="F33" s="34">
        <v>426.24511986157597</v>
      </c>
      <c r="G33" s="34"/>
      <c r="H33" s="28"/>
      <c r="I33" s="28"/>
      <c r="J33" s="28"/>
      <c r="K33" s="28"/>
    </row>
    <row r="34" spans="1:11" x14ac:dyDescent="0.3">
      <c r="A34" s="47">
        <v>7.4999999999999997E-3</v>
      </c>
      <c r="B34" s="46">
        <v>2.5700000000000001E-2</v>
      </c>
      <c r="C34" s="47">
        <v>7.5000000000000002E-4</v>
      </c>
      <c r="D34" s="47">
        <v>2.5000000000000001E-2</v>
      </c>
      <c r="E34" s="47">
        <v>3.1E-2</v>
      </c>
      <c r="F34" s="34">
        <v>423.07286380609997</v>
      </c>
      <c r="G34" s="33"/>
    </row>
    <row r="35" spans="1:11" x14ac:dyDescent="0.3">
      <c r="A35" s="35" t="s">
        <v>124</v>
      </c>
      <c r="B35" s="35"/>
      <c r="C35" s="35"/>
      <c r="D35" s="35"/>
      <c r="E35" s="35"/>
      <c r="F35" s="35"/>
      <c r="G35" s="49">
        <f>(B34-B26)/B26</f>
        <v>2.7999999999999969E-2</v>
      </c>
    </row>
    <row r="37" spans="1:11" x14ac:dyDescent="0.3">
      <c r="A37" s="79" t="s">
        <v>148</v>
      </c>
      <c r="B37" s="79"/>
      <c r="C37" s="79"/>
      <c r="D37" s="79"/>
      <c r="E37" s="79"/>
      <c r="F37" s="79"/>
      <c r="G37" s="79"/>
      <c r="H37" s="79"/>
    </row>
    <row r="38" spans="1:11" s="16" customFormat="1" x14ac:dyDescent="0.3">
      <c r="A38" s="61" t="s">
        <v>127</v>
      </c>
      <c r="B38" s="61" t="s">
        <v>128</v>
      </c>
      <c r="C38" s="61" t="s">
        <v>129</v>
      </c>
      <c r="D38" s="61" t="s">
        <v>125</v>
      </c>
      <c r="E38" s="61" t="s">
        <v>126</v>
      </c>
      <c r="F38" s="61" t="s">
        <v>117</v>
      </c>
      <c r="G38" s="61"/>
      <c r="H38" s="61"/>
    </row>
    <row r="39" spans="1:11" x14ac:dyDescent="0.3">
      <c r="A39" s="52">
        <v>4.9599999999999998E-2</v>
      </c>
      <c r="B39" s="52">
        <v>6.2E-2</v>
      </c>
      <c r="C39" s="52">
        <v>2.52E-2</v>
      </c>
      <c r="D39" s="52">
        <v>2.0000000000000001E-4</v>
      </c>
      <c r="E39" s="52">
        <v>6.7999999999999999E-5</v>
      </c>
      <c r="F39" s="51">
        <v>445.364341968058</v>
      </c>
      <c r="G39" s="52"/>
      <c r="H39" s="52"/>
    </row>
    <row r="40" spans="1:11" x14ac:dyDescent="0.3">
      <c r="A40" s="32">
        <v>0.24</v>
      </c>
      <c r="B40" s="33">
        <v>6.2E-2</v>
      </c>
      <c r="C40" s="33">
        <v>2.52E-2</v>
      </c>
      <c r="D40" s="33">
        <v>2.0000000000000001E-4</v>
      </c>
      <c r="E40" s="33">
        <v>6.7999999999999999E-5</v>
      </c>
      <c r="F40" s="34">
        <v>423.647902069591</v>
      </c>
      <c r="G40" s="33"/>
      <c r="H40" s="33"/>
    </row>
    <row r="41" spans="1:11" x14ac:dyDescent="0.3">
      <c r="A41" s="35" t="s">
        <v>130</v>
      </c>
      <c r="B41" s="35"/>
      <c r="C41" s="35"/>
      <c r="D41" s="35"/>
      <c r="E41" s="35"/>
      <c r="F41" s="41"/>
      <c r="G41" s="36">
        <f>A40-A39</f>
        <v>0.19039999999999999</v>
      </c>
      <c r="H41" s="35" t="s">
        <v>132</v>
      </c>
      <c r="I41" t="s">
        <v>133</v>
      </c>
    </row>
    <row r="42" spans="1:11" x14ac:dyDescent="0.3">
      <c r="A42" s="37">
        <v>4.9599999999999998E-2</v>
      </c>
      <c r="B42" s="38">
        <f>2.3*0.062</f>
        <v>0.14259999999999998</v>
      </c>
      <c r="C42" s="37">
        <v>2.52E-2</v>
      </c>
      <c r="D42" s="37">
        <v>2.0000000000000001E-4</v>
      </c>
      <c r="E42" s="37">
        <v>6.7999999999999999E-5</v>
      </c>
      <c r="F42" s="39">
        <v>423.7</v>
      </c>
      <c r="G42" s="44"/>
      <c r="H42" s="37"/>
    </row>
    <row r="43" spans="1:11" x14ac:dyDescent="0.3">
      <c r="A43" s="35" t="s">
        <v>131</v>
      </c>
      <c r="B43" s="35"/>
      <c r="C43" s="35"/>
      <c r="D43" s="35"/>
      <c r="E43" s="35"/>
      <c r="F43" s="41"/>
      <c r="G43" s="36">
        <f>B42-B39</f>
        <v>8.0599999999999977E-2</v>
      </c>
      <c r="H43" s="35" t="s">
        <v>132</v>
      </c>
    </row>
    <row r="44" spans="1:11" x14ac:dyDescent="0.3">
      <c r="A44" s="37">
        <v>4.9599999999999998E-2</v>
      </c>
      <c r="B44" s="37">
        <v>6.2E-2</v>
      </c>
      <c r="C44" s="38">
        <v>0.27500000000000002</v>
      </c>
      <c r="D44" s="37">
        <v>2.0000000000000001E-4</v>
      </c>
      <c r="E44" s="37">
        <v>6.7999999999999999E-5</v>
      </c>
      <c r="F44" s="39">
        <v>423.18078957542002</v>
      </c>
      <c r="G44" s="44"/>
      <c r="H44" s="37"/>
    </row>
    <row r="45" spans="1:11" x14ac:dyDescent="0.3">
      <c r="A45" s="35" t="s">
        <v>134</v>
      </c>
      <c r="B45" s="35"/>
      <c r="C45" s="35"/>
      <c r="D45" s="35"/>
      <c r="E45" s="35"/>
      <c r="F45" s="41"/>
      <c r="G45" s="43">
        <f>C44-C39</f>
        <v>0.24980000000000002</v>
      </c>
      <c r="H45" s="35" t="s">
        <v>132</v>
      </c>
    </row>
    <row r="46" spans="1:11" x14ac:dyDescent="0.3">
      <c r="A46" s="37">
        <v>4.9599999999999998E-2</v>
      </c>
      <c r="B46" s="37">
        <v>6.2E-2</v>
      </c>
      <c r="C46" s="37">
        <v>2.52E-2</v>
      </c>
      <c r="D46" s="42">
        <v>1.0200000000000001E-3</v>
      </c>
      <c r="E46" s="37">
        <v>6.7999999999999999E-5</v>
      </c>
      <c r="F46" s="39">
        <v>423.56808986936198</v>
      </c>
      <c r="G46" s="44"/>
      <c r="H46" s="37"/>
    </row>
    <row r="47" spans="1:11" x14ac:dyDescent="0.3">
      <c r="A47" s="35" t="s">
        <v>135</v>
      </c>
      <c r="B47" s="35"/>
      <c r="C47" s="35"/>
      <c r="D47" s="35"/>
      <c r="E47" s="35"/>
      <c r="F47" s="41"/>
      <c r="G47" s="43">
        <f>D46*1000-D39*1000</f>
        <v>0.82000000000000006</v>
      </c>
      <c r="H47" s="35" t="s">
        <v>137</v>
      </c>
    </row>
    <row r="48" spans="1:11" x14ac:dyDescent="0.3">
      <c r="A48" s="37">
        <v>4.9599999999999998E-2</v>
      </c>
      <c r="B48" s="37">
        <v>6.2E-2</v>
      </c>
      <c r="C48" s="37">
        <v>2.52E-2</v>
      </c>
      <c r="D48" s="37">
        <v>2.0000000000000001E-4</v>
      </c>
      <c r="E48" s="40">
        <v>4.2000000000000002E-4</v>
      </c>
      <c r="F48" s="39">
        <v>423.12318868017798</v>
      </c>
      <c r="G48" s="44"/>
      <c r="H48" s="37"/>
    </row>
    <row r="49" spans="1:8" x14ac:dyDescent="0.3">
      <c r="A49" s="35" t="s">
        <v>136</v>
      </c>
      <c r="B49" s="35"/>
      <c r="C49" s="35"/>
      <c r="D49" s="35"/>
      <c r="E49" s="35"/>
      <c r="F49" s="41"/>
      <c r="G49" s="43">
        <f>E48*1000-E39*1000</f>
        <v>0.35200000000000004</v>
      </c>
      <c r="H49" s="35" t="s">
        <v>137</v>
      </c>
    </row>
    <row r="51" spans="1:8" x14ac:dyDescent="0.3">
      <c r="A51" s="4" t="s">
        <v>149</v>
      </c>
    </row>
    <row r="52" spans="1:8" x14ac:dyDescent="0.3">
      <c r="A52" t="s">
        <v>150</v>
      </c>
    </row>
    <row r="53" spans="1:8" x14ac:dyDescent="0.3">
      <c r="A53" t="s">
        <v>151</v>
      </c>
    </row>
    <row r="54" spans="1:8" x14ac:dyDescent="0.3">
      <c r="A54" t="s">
        <v>152</v>
      </c>
    </row>
  </sheetData>
  <mergeCells count="7">
    <mergeCell ref="A24:G24"/>
    <mergeCell ref="A37:H37"/>
    <mergeCell ref="A1:XFD1"/>
    <mergeCell ref="A3:XFD3"/>
    <mergeCell ref="A4:XFD4"/>
    <mergeCell ref="A6:XFD6"/>
    <mergeCell ref="A20:XFD20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390D-9BA8-4449-8EDD-0D91E519404E}">
  <dimension ref="A1:O5"/>
  <sheetViews>
    <sheetView workbookViewId="0">
      <selection activeCell="A2" sqref="A2"/>
    </sheetView>
  </sheetViews>
  <sheetFormatPr defaultRowHeight="14.4" x14ac:dyDescent="0.3"/>
  <sheetData>
    <row r="1" spans="1:15" s="75" customFormat="1" ht="20.399999999999999" thickBot="1" x14ac:dyDescent="0.45">
      <c r="A1" s="75" t="s">
        <v>159</v>
      </c>
    </row>
    <row r="2" spans="1:15" ht="15" thickTop="1" x14ac:dyDescent="0.3"/>
    <row r="3" spans="1:15" s="73" customFormat="1" x14ac:dyDescent="0.3">
      <c r="A3" s="73" t="s">
        <v>175</v>
      </c>
    </row>
    <row r="5" spans="1:15" x14ac:dyDescent="0.3">
      <c r="A5" t="s">
        <v>184</v>
      </c>
      <c r="J5" t="s">
        <v>185</v>
      </c>
      <c r="O5" s="1"/>
    </row>
  </sheetData>
  <mergeCells count="2">
    <mergeCell ref="A1:XFD1"/>
    <mergeCell ref="A3:XFD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3.</vt:lpstr>
      <vt:lpstr>4.</vt:lpstr>
      <vt:lpstr>5.</vt:lpstr>
      <vt:lpstr>6.</vt:lpstr>
      <vt:lpstr>6. problem</vt:lpstr>
      <vt:lpstr>6. ThickLens</vt:lpstr>
      <vt:lpstr>7.</vt:lpstr>
      <vt:lpstr>8.</vt:lpstr>
      <vt:lpstr>9.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Jaclyn</dc:creator>
  <cp:lastModifiedBy>Jaclyn</cp:lastModifiedBy>
  <dcterms:created xsi:type="dcterms:W3CDTF">2018-09-10T18:21:03Z</dcterms:created>
  <dcterms:modified xsi:type="dcterms:W3CDTF">2018-09-14T13:16:21Z</dcterms:modified>
</cp:coreProperties>
</file>